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CA8F" lockStructure="1"/>
  <bookViews>
    <workbookView xWindow="720" yWindow="435" windowWidth="17955" windowHeight="5610" firstSheet="3" activeTab="5"/>
  </bookViews>
  <sheets>
    <sheet name="Directions" sheetId="10" r:id="rId1"/>
    <sheet name="Step 1 Base Rate Calculator" sheetId="2" r:id="rId2"/>
    <sheet name="Step 2-3 Avg Rate and Trig Calc" sheetId="11" r:id="rId3"/>
    <sheet name="Step 4 Calc Employer Tax Rates" sheetId="5" r:id="rId4"/>
    <sheet name="Tax System Simulation" sheetId="12" r:id="rId5"/>
    <sheet name="AFR Calculator" sheetId="7" r:id="rId6"/>
    <sheet name="AFR DATA" sheetId="8" state="hidden" r:id="rId7"/>
    <sheet name="AFR Calculation" sheetId="9" state="hidden" r:id="rId8"/>
    <sheet name="Base Rate Data" sheetId="1" state="hidden" r:id="rId9"/>
    <sheet name="Base Rate Calculation" sheetId="3" state="hidden" r:id="rId10"/>
  </sheets>
  <definedNames>
    <definedName name="_xlnm._FilterDatabase" localSheetId="6" hidden="1">'AFR DATA'!$A$1:$L$1856</definedName>
    <definedName name="_xlnm._FilterDatabase" localSheetId="8" hidden="1">'Base Rate Data'!$A$2:$M$1856</definedName>
  </definedNames>
  <calcPr calcId="145621"/>
</workbook>
</file>

<file path=xl/calcChain.xml><?xml version="1.0" encoding="utf-8"?>
<calcChain xmlns="http://schemas.openxmlformats.org/spreadsheetml/2006/main">
  <c r="Z34" i="5" l="1"/>
  <c r="Y34" i="5"/>
  <c r="AA34" i="5"/>
  <c r="AL32" i="5" l="1"/>
  <c r="AL13" i="5"/>
  <c r="Z13" i="5" l="1"/>
  <c r="AM34" i="5" l="1"/>
  <c r="AI34" i="5"/>
  <c r="AK34" i="5"/>
  <c r="AG34" i="5"/>
  <c r="AL34" i="5"/>
  <c r="AH34" i="5"/>
  <c r="H22" i="11"/>
  <c r="D26" i="11"/>
  <c r="D20" i="11"/>
  <c r="H20" i="11"/>
  <c r="I7" i="3" l="1" a="1"/>
  <c r="I7" i="3" s="1"/>
  <c r="I6" i="3" a="1"/>
  <c r="I6" i="3" s="1"/>
  <c r="I4" i="9" a="1"/>
  <c r="I4" i="9" s="1"/>
  <c r="I3" i="9" a="1"/>
  <c r="I3" i="9" s="1"/>
  <c r="J1909" i="8"/>
  <c r="J1908" i="8"/>
  <c r="J1907" i="8"/>
  <c r="J1906" i="8"/>
  <c r="J1905" i="8"/>
  <c r="J1904" i="8"/>
  <c r="J1903" i="8"/>
  <c r="J1902" i="8"/>
  <c r="J1901" i="8"/>
  <c r="J1900" i="8"/>
  <c r="J1899" i="8"/>
  <c r="J1898" i="8"/>
  <c r="J1897" i="8"/>
  <c r="J1896" i="8"/>
  <c r="J1895" i="8"/>
  <c r="J1894" i="8"/>
  <c r="J1893" i="8"/>
  <c r="J1892" i="8"/>
  <c r="J1891" i="8"/>
  <c r="J1890" i="8"/>
  <c r="J1889" i="8"/>
  <c r="J1888" i="8"/>
  <c r="J1887" i="8"/>
  <c r="J1886" i="8"/>
  <c r="J1885" i="8"/>
  <c r="J1884" i="8"/>
  <c r="J1883" i="8"/>
  <c r="J1882" i="8"/>
  <c r="J1881" i="8"/>
  <c r="J1880" i="8"/>
  <c r="J1879" i="8"/>
  <c r="J1878" i="8"/>
  <c r="J1877" i="8"/>
  <c r="J1876" i="8"/>
  <c r="J1875" i="8"/>
  <c r="J1874" i="8"/>
  <c r="J1873" i="8"/>
  <c r="J1872" i="8"/>
  <c r="J1871" i="8"/>
  <c r="J1870" i="8"/>
  <c r="J1869" i="8"/>
  <c r="J1868" i="8"/>
  <c r="J1867" i="8"/>
  <c r="J1866" i="8"/>
  <c r="J1865" i="8"/>
  <c r="J1864" i="8"/>
  <c r="J1863" i="8"/>
  <c r="J1862" i="8"/>
  <c r="J1861" i="8"/>
  <c r="J1860" i="8"/>
  <c r="J1859" i="8"/>
  <c r="J1858" i="8"/>
  <c r="J1857" i="8"/>
  <c r="J1856" i="8"/>
  <c r="J1855" i="8"/>
  <c r="J1854" i="8"/>
  <c r="J1853" i="8"/>
  <c r="J1852" i="8"/>
  <c r="J1851" i="8"/>
  <c r="J1850" i="8"/>
  <c r="J1849" i="8"/>
  <c r="J1848" i="8"/>
  <c r="J1847" i="8"/>
  <c r="J1846" i="8"/>
  <c r="J1845" i="8"/>
  <c r="J1844" i="8"/>
  <c r="J1843" i="8"/>
  <c r="J1842" i="8"/>
  <c r="J1841" i="8"/>
  <c r="J1840" i="8"/>
  <c r="J1839" i="8"/>
  <c r="J1838" i="8"/>
  <c r="J1837" i="8"/>
  <c r="J1836" i="8"/>
  <c r="J1835" i="8"/>
  <c r="J1834" i="8"/>
  <c r="J1833" i="8"/>
  <c r="J1832" i="8"/>
  <c r="J1831" i="8"/>
  <c r="J1830" i="8"/>
  <c r="J1829" i="8"/>
  <c r="J1828" i="8"/>
  <c r="J1827" i="8"/>
  <c r="J1826" i="8"/>
  <c r="J1825" i="8"/>
  <c r="J1824" i="8"/>
  <c r="J1823" i="8"/>
  <c r="J1822" i="8"/>
  <c r="J1821" i="8"/>
  <c r="J1820" i="8"/>
  <c r="J1819" i="8"/>
  <c r="J1818" i="8"/>
  <c r="J1817" i="8"/>
  <c r="J1816" i="8"/>
  <c r="J1815" i="8"/>
  <c r="J1814" i="8"/>
  <c r="J1813" i="8"/>
  <c r="J1812" i="8"/>
  <c r="J1811" i="8"/>
  <c r="J1810" i="8"/>
  <c r="J1809" i="8"/>
  <c r="J1808" i="8"/>
  <c r="J1807" i="8"/>
  <c r="J1806" i="8"/>
  <c r="J1805" i="8"/>
  <c r="J1804" i="8"/>
  <c r="J1803" i="8"/>
  <c r="J1802" i="8"/>
  <c r="J1801" i="8"/>
  <c r="J1800" i="8"/>
  <c r="J1799" i="8"/>
  <c r="J1798" i="8"/>
  <c r="J1797" i="8"/>
  <c r="J1796" i="8"/>
  <c r="J1795" i="8"/>
  <c r="J1794" i="8"/>
  <c r="J1793" i="8"/>
  <c r="J1792" i="8"/>
  <c r="J1791" i="8"/>
  <c r="J1790" i="8"/>
  <c r="J1789" i="8"/>
  <c r="J1788" i="8"/>
  <c r="J1787" i="8"/>
  <c r="J1786" i="8"/>
  <c r="J1785" i="8"/>
  <c r="J1784" i="8"/>
  <c r="J1783" i="8"/>
  <c r="J1782" i="8"/>
  <c r="J1781" i="8"/>
  <c r="J1780" i="8"/>
  <c r="J1779" i="8"/>
  <c r="J1778" i="8"/>
  <c r="J1777" i="8"/>
  <c r="J1776" i="8"/>
  <c r="J1775" i="8"/>
  <c r="J1774" i="8"/>
  <c r="J1773" i="8"/>
  <c r="J1772" i="8"/>
  <c r="J1771" i="8"/>
  <c r="J1770" i="8"/>
  <c r="J1769" i="8"/>
  <c r="J1768" i="8"/>
  <c r="J1767" i="8"/>
  <c r="J1766" i="8"/>
  <c r="J1765" i="8"/>
  <c r="J1764" i="8"/>
  <c r="J1763" i="8"/>
  <c r="J1762" i="8"/>
  <c r="J1761" i="8"/>
  <c r="J1760" i="8"/>
  <c r="J1759" i="8"/>
  <c r="J1758" i="8"/>
  <c r="J1757" i="8"/>
  <c r="J1756" i="8"/>
  <c r="J1755" i="8"/>
  <c r="J1754" i="8"/>
  <c r="J1753" i="8"/>
  <c r="J1752" i="8"/>
  <c r="J1751" i="8"/>
  <c r="J1750" i="8"/>
  <c r="J1749" i="8"/>
  <c r="J1748" i="8"/>
  <c r="J1747" i="8"/>
  <c r="J1746" i="8"/>
  <c r="J1745" i="8"/>
  <c r="J1744" i="8"/>
  <c r="J1743" i="8"/>
  <c r="J1742" i="8"/>
  <c r="J1741" i="8"/>
  <c r="J1740" i="8"/>
  <c r="J1739" i="8"/>
  <c r="J1738" i="8"/>
  <c r="J1737" i="8"/>
  <c r="J1736" i="8"/>
  <c r="J1735" i="8"/>
  <c r="J1734" i="8"/>
  <c r="J1733" i="8"/>
  <c r="J1732" i="8"/>
  <c r="J1731" i="8"/>
  <c r="J1730" i="8"/>
  <c r="J1729" i="8"/>
  <c r="J1728" i="8"/>
  <c r="J1727" i="8"/>
  <c r="J1726" i="8"/>
  <c r="J1725" i="8"/>
  <c r="J1724" i="8"/>
  <c r="J1723" i="8"/>
  <c r="J1722" i="8"/>
  <c r="J1721" i="8"/>
  <c r="J1720" i="8"/>
  <c r="J1719" i="8"/>
  <c r="J1718" i="8"/>
  <c r="J1717" i="8"/>
  <c r="J1716" i="8"/>
  <c r="J1715" i="8"/>
  <c r="J1714" i="8"/>
  <c r="J1713" i="8"/>
  <c r="J1712" i="8"/>
  <c r="J1711" i="8"/>
  <c r="J1710" i="8"/>
  <c r="J1709" i="8"/>
  <c r="J1708" i="8"/>
  <c r="J1707" i="8"/>
  <c r="J1706" i="8"/>
  <c r="J1705" i="8"/>
  <c r="J1704" i="8"/>
  <c r="J1703" i="8"/>
  <c r="J1702" i="8"/>
  <c r="J1701" i="8"/>
  <c r="J1700" i="8"/>
  <c r="J1699" i="8"/>
  <c r="J1698" i="8"/>
  <c r="J1697" i="8"/>
  <c r="J1696" i="8"/>
  <c r="J1695" i="8"/>
  <c r="J1694" i="8"/>
  <c r="J1693" i="8"/>
  <c r="J1692" i="8"/>
  <c r="J1691" i="8"/>
  <c r="J1690" i="8"/>
  <c r="J1689" i="8"/>
  <c r="J1688" i="8"/>
  <c r="J1687" i="8"/>
  <c r="J1686" i="8"/>
  <c r="J1685" i="8"/>
  <c r="J1684" i="8"/>
  <c r="J1683" i="8"/>
  <c r="J1682" i="8"/>
  <c r="J1681" i="8"/>
  <c r="J1680" i="8"/>
  <c r="J1679" i="8"/>
  <c r="J1678" i="8"/>
  <c r="J1677" i="8"/>
  <c r="J1676" i="8"/>
  <c r="J1675" i="8"/>
  <c r="J1674" i="8"/>
  <c r="J1673" i="8"/>
  <c r="J1672" i="8"/>
  <c r="J1671" i="8"/>
  <c r="J1670" i="8"/>
  <c r="J1669" i="8"/>
  <c r="J1668" i="8"/>
  <c r="J1667" i="8"/>
  <c r="J1666" i="8"/>
  <c r="J1665" i="8"/>
  <c r="J1664" i="8"/>
  <c r="J1663" i="8"/>
  <c r="J1662" i="8"/>
  <c r="J1661" i="8"/>
  <c r="J1660" i="8"/>
  <c r="J1659" i="8"/>
  <c r="J1658" i="8"/>
  <c r="J1657" i="8"/>
  <c r="J1656" i="8"/>
  <c r="J1655" i="8"/>
  <c r="J1654" i="8"/>
  <c r="J1653" i="8"/>
  <c r="J1652" i="8"/>
  <c r="J1651" i="8"/>
  <c r="J1650" i="8"/>
  <c r="J1649" i="8"/>
  <c r="J1648" i="8"/>
  <c r="J1647" i="8"/>
  <c r="J1646" i="8"/>
  <c r="J1645" i="8"/>
  <c r="J1644" i="8"/>
  <c r="J1643" i="8"/>
  <c r="J1642" i="8"/>
  <c r="J1641" i="8"/>
  <c r="J1640" i="8"/>
  <c r="J1639" i="8"/>
  <c r="J1638" i="8"/>
  <c r="J1637" i="8"/>
  <c r="J1636" i="8"/>
  <c r="J1635" i="8"/>
  <c r="J1634" i="8"/>
  <c r="J1633" i="8"/>
  <c r="J1632" i="8"/>
  <c r="J1631" i="8"/>
  <c r="J1630" i="8"/>
  <c r="J1629" i="8"/>
  <c r="J1628" i="8"/>
  <c r="J1627" i="8"/>
  <c r="J1626" i="8"/>
  <c r="J1625" i="8"/>
  <c r="J1624" i="8"/>
  <c r="J1623" i="8"/>
  <c r="J1622" i="8"/>
  <c r="J1621" i="8"/>
  <c r="J1620" i="8"/>
  <c r="J1619" i="8"/>
  <c r="J1618" i="8"/>
  <c r="J1617" i="8"/>
  <c r="J1616" i="8"/>
  <c r="J1615" i="8"/>
  <c r="J1614" i="8"/>
  <c r="J1613" i="8"/>
  <c r="J1612" i="8"/>
  <c r="J1611" i="8"/>
  <c r="J1610" i="8"/>
  <c r="J1609" i="8"/>
  <c r="J1608" i="8"/>
  <c r="J1607" i="8"/>
  <c r="J1606" i="8"/>
  <c r="J1605" i="8"/>
  <c r="J1604" i="8"/>
  <c r="J1603" i="8"/>
  <c r="J1602" i="8"/>
  <c r="J1601" i="8"/>
  <c r="J1600" i="8"/>
  <c r="J1599" i="8"/>
  <c r="J1598" i="8"/>
  <c r="J1597" i="8"/>
  <c r="J1596" i="8"/>
  <c r="J1595" i="8"/>
  <c r="J1594" i="8"/>
  <c r="J1593" i="8"/>
  <c r="J1592" i="8"/>
  <c r="J1591" i="8"/>
  <c r="J1590" i="8"/>
  <c r="J1589" i="8"/>
  <c r="J1588" i="8"/>
  <c r="J1587" i="8"/>
  <c r="J1586" i="8"/>
  <c r="J1585" i="8"/>
  <c r="J1584" i="8"/>
  <c r="J1583" i="8"/>
  <c r="J1582" i="8"/>
  <c r="J1581" i="8"/>
  <c r="J1580" i="8"/>
  <c r="J1579" i="8"/>
  <c r="J1578" i="8"/>
  <c r="J1577" i="8"/>
  <c r="J1576" i="8"/>
  <c r="J1575" i="8"/>
  <c r="J1574" i="8"/>
  <c r="J1573" i="8"/>
  <c r="J1572" i="8"/>
  <c r="J1571" i="8"/>
  <c r="J1570" i="8"/>
  <c r="J1569" i="8"/>
  <c r="J1568" i="8"/>
  <c r="J1567" i="8"/>
  <c r="J1566" i="8"/>
  <c r="J1565" i="8"/>
  <c r="J1564" i="8"/>
  <c r="J1563" i="8"/>
  <c r="J1562" i="8"/>
  <c r="J1561" i="8"/>
  <c r="J1560" i="8"/>
  <c r="J1559" i="8"/>
  <c r="J1558" i="8"/>
  <c r="J1557" i="8"/>
  <c r="J1556" i="8"/>
  <c r="J1555" i="8"/>
  <c r="J1554" i="8"/>
  <c r="J1553" i="8"/>
  <c r="J1552" i="8"/>
  <c r="J1551" i="8"/>
  <c r="J1550" i="8"/>
  <c r="J1549" i="8"/>
  <c r="J1548" i="8"/>
  <c r="J1547" i="8"/>
  <c r="J1546" i="8"/>
  <c r="J1545" i="8"/>
  <c r="J1544" i="8"/>
  <c r="J1543" i="8"/>
  <c r="J1542" i="8"/>
  <c r="J1541" i="8"/>
  <c r="J1540" i="8"/>
  <c r="J1539" i="8"/>
  <c r="J1538" i="8"/>
  <c r="J1537" i="8"/>
  <c r="J1536" i="8"/>
  <c r="J1535" i="8"/>
  <c r="J1534" i="8"/>
  <c r="J1533" i="8"/>
  <c r="J1532" i="8"/>
  <c r="J1531" i="8"/>
  <c r="J1530" i="8"/>
  <c r="J1529" i="8"/>
  <c r="J1528" i="8"/>
  <c r="J1527" i="8"/>
  <c r="J1526" i="8"/>
  <c r="J1525" i="8"/>
  <c r="J1524" i="8"/>
  <c r="J1523" i="8"/>
  <c r="J1522" i="8"/>
  <c r="J1521" i="8"/>
  <c r="J1520" i="8"/>
  <c r="J1519" i="8"/>
  <c r="J1518" i="8"/>
  <c r="J1517" i="8"/>
  <c r="J1516" i="8"/>
  <c r="J1515" i="8"/>
  <c r="J1514" i="8"/>
  <c r="J1513" i="8"/>
  <c r="J1512" i="8"/>
  <c r="J1511" i="8"/>
  <c r="J1510" i="8"/>
  <c r="J1509" i="8"/>
  <c r="J1508" i="8"/>
  <c r="J1507" i="8"/>
  <c r="J1506" i="8"/>
  <c r="J1505" i="8"/>
  <c r="J1504" i="8"/>
  <c r="J1503" i="8"/>
  <c r="J1502" i="8"/>
  <c r="J1501" i="8"/>
  <c r="J1500" i="8"/>
  <c r="J1499" i="8"/>
  <c r="J1498" i="8"/>
  <c r="J1497" i="8"/>
  <c r="J1496" i="8"/>
  <c r="J1495" i="8"/>
  <c r="J1494" i="8"/>
  <c r="J1493" i="8"/>
  <c r="J1492" i="8"/>
  <c r="J1491" i="8"/>
  <c r="J1490" i="8"/>
  <c r="J1489" i="8"/>
  <c r="J1488" i="8"/>
  <c r="J1487" i="8"/>
  <c r="J1486" i="8"/>
  <c r="J1485" i="8"/>
  <c r="J1484" i="8"/>
  <c r="J1483" i="8"/>
  <c r="J1482" i="8"/>
  <c r="J1481" i="8"/>
  <c r="J1480" i="8"/>
  <c r="J1479" i="8"/>
  <c r="J1478" i="8"/>
  <c r="J1477" i="8"/>
  <c r="J1476" i="8"/>
  <c r="J1475" i="8"/>
  <c r="J1474" i="8"/>
  <c r="J1473" i="8"/>
  <c r="J1472" i="8"/>
  <c r="J1471" i="8"/>
  <c r="J1470" i="8"/>
  <c r="J1469" i="8"/>
  <c r="J1468" i="8"/>
  <c r="J1467" i="8"/>
  <c r="J1466" i="8"/>
  <c r="J1465" i="8"/>
  <c r="J1464" i="8"/>
  <c r="J1463" i="8"/>
  <c r="J1462" i="8"/>
  <c r="J1461" i="8"/>
  <c r="J1460" i="8"/>
  <c r="J1459" i="8"/>
  <c r="J1458" i="8"/>
  <c r="J1457" i="8"/>
  <c r="J1456" i="8"/>
  <c r="J1455" i="8"/>
  <c r="J1454" i="8"/>
  <c r="J1453" i="8"/>
  <c r="J1452" i="8"/>
  <c r="J1451" i="8"/>
  <c r="J1450" i="8"/>
  <c r="J1449" i="8"/>
  <c r="J1448" i="8"/>
  <c r="J1447" i="8"/>
  <c r="J1446" i="8"/>
  <c r="J1445" i="8"/>
  <c r="J1444" i="8"/>
  <c r="J1443" i="8"/>
  <c r="J1442" i="8"/>
  <c r="J1441" i="8"/>
  <c r="J1440" i="8"/>
  <c r="J1439" i="8"/>
  <c r="J1438" i="8"/>
  <c r="J1437" i="8"/>
  <c r="J1436" i="8"/>
  <c r="J1435" i="8"/>
  <c r="J1434" i="8"/>
  <c r="J1433" i="8"/>
  <c r="J1432" i="8"/>
  <c r="J1431" i="8"/>
  <c r="J1430" i="8"/>
  <c r="J1429" i="8"/>
  <c r="J1428" i="8"/>
  <c r="J1427" i="8"/>
  <c r="J1426" i="8"/>
  <c r="J1425" i="8"/>
  <c r="J1424" i="8"/>
  <c r="J1423" i="8"/>
  <c r="J1422" i="8"/>
  <c r="J1421" i="8"/>
  <c r="J1420" i="8"/>
  <c r="J1419" i="8"/>
  <c r="J1418" i="8"/>
  <c r="J1417" i="8"/>
  <c r="J1416" i="8"/>
  <c r="J1415" i="8"/>
  <c r="J1414" i="8"/>
  <c r="J1413" i="8"/>
  <c r="J1412" i="8"/>
  <c r="J1411" i="8"/>
  <c r="J1410" i="8"/>
  <c r="J1409" i="8"/>
  <c r="J1408" i="8"/>
  <c r="J1407" i="8"/>
  <c r="J1406" i="8"/>
  <c r="J1405" i="8"/>
  <c r="J1404" i="8"/>
  <c r="J1403" i="8"/>
  <c r="J1402" i="8"/>
  <c r="J1401" i="8"/>
  <c r="J1400" i="8"/>
  <c r="J1399" i="8"/>
  <c r="J1398" i="8"/>
  <c r="J1397" i="8"/>
  <c r="J1396" i="8"/>
  <c r="J1395" i="8"/>
  <c r="J1394" i="8"/>
  <c r="J1393" i="8"/>
  <c r="J1392" i="8"/>
  <c r="J1391" i="8"/>
  <c r="J1390" i="8"/>
  <c r="J1389" i="8"/>
  <c r="J1388" i="8"/>
  <c r="J1387" i="8"/>
  <c r="J1386" i="8"/>
  <c r="J1385" i="8"/>
  <c r="J1384" i="8"/>
  <c r="J1383" i="8"/>
  <c r="J1382" i="8"/>
  <c r="J1381" i="8"/>
  <c r="J1380" i="8"/>
  <c r="J1379" i="8"/>
  <c r="J1378" i="8"/>
  <c r="J1377" i="8"/>
  <c r="J1376" i="8"/>
  <c r="J1375" i="8"/>
  <c r="J1374" i="8"/>
  <c r="J1373" i="8"/>
  <c r="J1372" i="8"/>
  <c r="J1371" i="8"/>
  <c r="J1370" i="8"/>
  <c r="J1369" i="8"/>
  <c r="J1368" i="8"/>
  <c r="J1367" i="8"/>
  <c r="J1366" i="8"/>
  <c r="J1365" i="8"/>
  <c r="J1364" i="8"/>
  <c r="J1363" i="8"/>
  <c r="J1362" i="8"/>
  <c r="J1361" i="8"/>
  <c r="J1360" i="8"/>
  <c r="J1359" i="8"/>
  <c r="J1358" i="8"/>
  <c r="J1357" i="8"/>
  <c r="J1356" i="8"/>
  <c r="J1355" i="8"/>
  <c r="J1354" i="8"/>
  <c r="J1353" i="8"/>
  <c r="J1352" i="8"/>
  <c r="J1351" i="8"/>
  <c r="J1350" i="8"/>
  <c r="J1349" i="8"/>
  <c r="J1348" i="8"/>
  <c r="J1347" i="8"/>
  <c r="J1346" i="8"/>
  <c r="J1345" i="8"/>
  <c r="J1344" i="8"/>
  <c r="J1343" i="8"/>
  <c r="J1342" i="8"/>
  <c r="J1341" i="8"/>
  <c r="J1340" i="8"/>
  <c r="J1339" i="8"/>
  <c r="J1338" i="8"/>
  <c r="J1337" i="8"/>
  <c r="J1336" i="8"/>
  <c r="J1335" i="8"/>
  <c r="J1334" i="8"/>
  <c r="J1333" i="8"/>
  <c r="J1332" i="8"/>
  <c r="J1331" i="8"/>
  <c r="J1330" i="8"/>
  <c r="J1329" i="8"/>
  <c r="J1328" i="8"/>
  <c r="J1327" i="8"/>
  <c r="J1326" i="8"/>
  <c r="J1325" i="8"/>
  <c r="J1324" i="8"/>
  <c r="J1323" i="8"/>
  <c r="J1322" i="8"/>
  <c r="J1321" i="8"/>
  <c r="J1320" i="8"/>
  <c r="J1319" i="8"/>
  <c r="J1318" i="8"/>
  <c r="J1317" i="8"/>
  <c r="J1316" i="8"/>
  <c r="J1315" i="8"/>
  <c r="J1314" i="8"/>
  <c r="J1313" i="8"/>
  <c r="J1312" i="8"/>
  <c r="J1311" i="8"/>
  <c r="J1310" i="8"/>
  <c r="J1309" i="8"/>
  <c r="J1308" i="8"/>
  <c r="J1307" i="8"/>
  <c r="J1306" i="8"/>
  <c r="J1305" i="8"/>
  <c r="J1304" i="8"/>
  <c r="J1303" i="8"/>
  <c r="J1302" i="8"/>
  <c r="J1301" i="8"/>
  <c r="J1300" i="8"/>
  <c r="J1299" i="8"/>
  <c r="J1298" i="8"/>
  <c r="J1297" i="8"/>
  <c r="J1296" i="8"/>
  <c r="J1295" i="8"/>
  <c r="J1294" i="8"/>
  <c r="J1293" i="8"/>
  <c r="J1292" i="8"/>
  <c r="J1291" i="8"/>
  <c r="J1290" i="8"/>
  <c r="J1289" i="8"/>
  <c r="J1288" i="8"/>
  <c r="J1287" i="8"/>
  <c r="J1286" i="8"/>
  <c r="J1285" i="8"/>
  <c r="J1284" i="8"/>
  <c r="J1283" i="8"/>
  <c r="J1282" i="8"/>
  <c r="J1281" i="8"/>
  <c r="J1280" i="8"/>
  <c r="J1279" i="8"/>
  <c r="J1278" i="8"/>
  <c r="J1277" i="8"/>
  <c r="J1276" i="8"/>
  <c r="J1275" i="8"/>
  <c r="J1274" i="8"/>
  <c r="J1273" i="8"/>
  <c r="J1272" i="8"/>
  <c r="J1271" i="8"/>
  <c r="J1270" i="8"/>
  <c r="J1269" i="8"/>
  <c r="J1268" i="8"/>
  <c r="J1267" i="8"/>
  <c r="J1266" i="8"/>
  <c r="J1265" i="8"/>
  <c r="J1264" i="8"/>
  <c r="J1263" i="8"/>
  <c r="J1262" i="8"/>
  <c r="J1261" i="8"/>
  <c r="J1260" i="8"/>
  <c r="J1259" i="8"/>
  <c r="J1258" i="8"/>
  <c r="J1257" i="8"/>
  <c r="J1256" i="8"/>
  <c r="J1255" i="8"/>
  <c r="J1254" i="8"/>
  <c r="J1253" i="8"/>
  <c r="J1252" i="8"/>
  <c r="J1251" i="8"/>
  <c r="J1250" i="8"/>
  <c r="J1249" i="8"/>
  <c r="J1248" i="8"/>
  <c r="J1247" i="8"/>
  <c r="J1246" i="8"/>
  <c r="J1245" i="8"/>
  <c r="J1244" i="8"/>
  <c r="J1243" i="8"/>
  <c r="J1242" i="8"/>
  <c r="J1241" i="8"/>
  <c r="J1240" i="8"/>
  <c r="J1239" i="8"/>
  <c r="J1238" i="8"/>
  <c r="J1237" i="8"/>
  <c r="J1236" i="8"/>
  <c r="J1235" i="8"/>
  <c r="J1234" i="8"/>
  <c r="J1233" i="8"/>
  <c r="J1232" i="8"/>
  <c r="J1231" i="8"/>
  <c r="J1230" i="8"/>
  <c r="J1229" i="8"/>
  <c r="J1228" i="8"/>
  <c r="J1227" i="8"/>
  <c r="J1226" i="8"/>
  <c r="J1225" i="8"/>
  <c r="J1224" i="8"/>
  <c r="J1223" i="8"/>
  <c r="J1222" i="8"/>
  <c r="J1221" i="8"/>
  <c r="J1220" i="8"/>
  <c r="J1219" i="8"/>
  <c r="J1218" i="8"/>
  <c r="J1217" i="8"/>
  <c r="J1216" i="8"/>
  <c r="J1215" i="8"/>
  <c r="J1214" i="8"/>
  <c r="J1213" i="8"/>
  <c r="J1212" i="8"/>
  <c r="J1211" i="8"/>
  <c r="J1210" i="8"/>
  <c r="J1209" i="8"/>
  <c r="J1208" i="8"/>
  <c r="J1207" i="8"/>
  <c r="J1206" i="8"/>
  <c r="J1205" i="8"/>
  <c r="J1204" i="8"/>
  <c r="J1203" i="8"/>
  <c r="J1202" i="8"/>
  <c r="J1201" i="8"/>
  <c r="J1200" i="8"/>
  <c r="J1199" i="8"/>
  <c r="J1198" i="8"/>
  <c r="J1197" i="8"/>
  <c r="J1196" i="8"/>
  <c r="J1195" i="8"/>
  <c r="J1194" i="8"/>
  <c r="J1193" i="8"/>
  <c r="J1192" i="8"/>
  <c r="J1191" i="8"/>
  <c r="J1190" i="8"/>
  <c r="J1189" i="8"/>
  <c r="J1188" i="8"/>
  <c r="J1187" i="8"/>
  <c r="J1186" i="8"/>
  <c r="J1185" i="8"/>
  <c r="J1184" i="8"/>
  <c r="J1183" i="8"/>
  <c r="J1182" i="8"/>
  <c r="J1181" i="8"/>
  <c r="J1180" i="8"/>
  <c r="J1179" i="8"/>
  <c r="J1178" i="8"/>
  <c r="J1177" i="8"/>
  <c r="J1176" i="8"/>
  <c r="J1175" i="8"/>
  <c r="J1174" i="8"/>
  <c r="J1173" i="8"/>
  <c r="J1172" i="8"/>
  <c r="J1171" i="8"/>
  <c r="J1170" i="8"/>
  <c r="J1169" i="8"/>
  <c r="J1168" i="8"/>
  <c r="J1167" i="8"/>
  <c r="J1166" i="8"/>
  <c r="J1165" i="8"/>
  <c r="J1164" i="8"/>
  <c r="J1163" i="8"/>
  <c r="J1162" i="8"/>
  <c r="J1161" i="8"/>
  <c r="J1160" i="8"/>
  <c r="J1159" i="8"/>
  <c r="J1158" i="8"/>
  <c r="J1157" i="8"/>
  <c r="J1156" i="8"/>
  <c r="J1155" i="8"/>
  <c r="J1154" i="8"/>
  <c r="J1153" i="8"/>
  <c r="J1152" i="8"/>
  <c r="J1151" i="8"/>
  <c r="J1150" i="8"/>
  <c r="J1149" i="8"/>
  <c r="J1148" i="8"/>
  <c r="J1147" i="8"/>
  <c r="J1146" i="8"/>
  <c r="J1145" i="8"/>
  <c r="J1144" i="8"/>
  <c r="J1143" i="8"/>
  <c r="J1142" i="8"/>
  <c r="J1141" i="8"/>
  <c r="J1140" i="8"/>
  <c r="J1139" i="8"/>
  <c r="J1138" i="8"/>
  <c r="J1137" i="8"/>
  <c r="J1136" i="8"/>
  <c r="J1135" i="8"/>
  <c r="J1134" i="8"/>
  <c r="J1133" i="8"/>
  <c r="J1132" i="8"/>
  <c r="J1131" i="8"/>
  <c r="J1130" i="8"/>
  <c r="J1129" i="8"/>
  <c r="J1128" i="8"/>
  <c r="J1127" i="8"/>
  <c r="J1126" i="8"/>
  <c r="J1125" i="8"/>
  <c r="J1124" i="8"/>
  <c r="J1123" i="8"/>
  <c r="J1122" i="8"/>
  <c r="J1121" i="8"/>
  <c r="J1120" i="8"/>
  <c r="J1119" i="8"/>
  <c r="J1118" i="8"/>
  <c r="J1117" i="8"/>
  <c r="J1116" i="8"/>
  <c r="J1115" i="8"/>
  <c r="J1114" i="8"/>
  <c r="J1113" i="8"/>
  <c r="J1112" i="8"/>
  <c r="J1111" i="8"/>
  <c r="J1110" i="8"/>
  <c r="J1109" i="8"/>
  <c r="J1108" i="8"/>
  <c r="J1107" i="8"/>
  <c r="J1106" i="8"/>
  <c r="J1105" i="8"/>
  <c r="J1104" i="8"/>
  <c r="J1103" i="8"/>
  <c r="J1102" i="8"/>
  <c r="J1101" i="8"/>
  <c r="J1100" i="8"/>
  <c r="J1099" i="8"/>
  <c r="J1098" i="8"/>
  <c r="J1097" i="8"/>
  <c r="J1096" i="8"/>
  <c r="J1095" i="8"/>
  <c r="J1094" i="8"/>
  <c r="J1093" i="8"/>
  <c r="J1092" i="8"/>
  <c r="J1091" i="8"/>
  <c r="J1090" i="8"/>
  <c r="J1089" i="8"/>
  <c r="J1088" i="8"/>
  <c r="J1087" i="8"/>
  <c r="J1086" i="8"/>
  <c r="J1085" i="8"/>
  <c r="J1084" i="8"/>
  <c r="J1083" i="8"/>
  <c r="J1082" i="8"/>
  <c r="J1081" i="8"/>
  <c r="J1080" i="8"/>
  <c r="J1079" i="8"/>
  <c r="J1078" i="8"/>
  <c r="J1077" i="8"/>
  <c r="J1076" i="8"/>
  <c r="J1075" i="8"/>
  <c r="J1074" i="8"/>
  <c r="J1073" i="8"/>
  <c r="J1072" i="8"/>
  <c r="J1071" i="8"/>
  <c r="J1070" i="8"/>
  <c r="J1069" i="8"/>
  <c r="J1068" i="8"/>
  <c r="J1067" i="8"/>
  <c r="J1066" i="8"/>
  <c r="J1065" i="8"/>
  <c r="J1064" i="8"/>
  <c r="J1063" i="8"/>
  <c r="J1062" i="8"/>
  <c r="J1061" i="8"/>
  <c r="J1060" i="8"/>
  <c r="J1059" i="8"/>
  <c r="J1058" i="8"/>
  <c r="J1057" i="8"/>
  <c r="J1056" i="8"/>
  <c r="J1055" i="8"/>
  <c r="J1054" i="8"/>
  <c r="J1053" i="8"/>
  <c r="J1052" i="8"/>
  <c r="J1051" i="8"/>
  <c r="J1050" i="8"/>
  <c r="J1049" i="8"/>
  <c r="J1048" i="8"/>
  <c r="J1047" i="8"/>
  <c r="J1046" i="8"/>
  <c r="J1045" i="8"/>
  <c r="J1044" i="8"/>
  <c r="J1043" i="8"/>
  <c r="J1042" i="8"/>
  <c r="J1041" i="8"/>
  <c r="J1040" i="8"/>
  <c r="J1039" i="8"/>
  <c r="J1038" i="8"/>
  <c r="J1037" i="8"/>
  <c r="J1036" i="8"/>
  <c r="J1035" i="8"/>
  <c r="J1034" i="8"/>
  <c r="J1033" i="8"/>
  <c r="J1032" i="8"/>
  <c r="J1031" i="8"/>
  <c r="J1030" i="8"/>
  <c r="J1029" i="8"/>
  <c r="J1028" i="8"/>
  <c r="J1027" i="8"/>
  <c r="J1026" i="8"/>
  <c r="J1025" i="8"/>
  <c r="J1024" i="8"/>
  <c r="J1023" i="8"/>
  <c r="J1022" i="8"/>
  <c r="J1021" i="8"/>
  <c r="J1020" i="8"/>
  <c r="J1019" i="8"/>
  <c r="J1018" i="8"/>
  <c r="J1017" i="8"/>
  <c r="J1016" i="8"/>
  <c r="J1015" i="8"/>
  <c r="J1014" i="8"/>
  <c r="J1013" i="8"/>
  <c r="J1012" i="8"/>
  <c r="J1011" i="8"/>
  <c r="J1010" i="8"/>
  <c r="J1009" i="8"/>
  <c r="J1008" i="8"/>
  <c r="J1007" i="8"/>
  <c r="J1006" i="8"/>
  <c r="J1005" i="8"/>
  <c r="J1004" i="8"/>
  <c r="J1003" i="8"/>
  <c r="J1002" i="8"/>
  <c r="J1001" i="8"/>
  <c r="J1000" i="8"/>
  <c r="J999" i="8"/>
  <c r="J998" i="8"/>
  <c r="J997" i="8"/>
  <c r="J996" i="8"/>
  <c r="J995" i="8"/>
  <c r="J994" i="8"/>
  <c r="J993" i="8"/>
  <c r="J992" i="8"/>
  <c r="J991" i="8"/>
  <c r="J990" i="8"/>
  <c r="J989" i="8"/>
  <c r="J988" i="8"/>
  <c r="J987" i="8"/>
  <c r="J986" i="8"/>
  <c r="J985" i="8"/>
  <c r="J984" i="8"/>
  <c r="J983" i="8"/>
  <c r="J982" i="8"/>
  <c r="J981" i="8"/>
  <c r="J980" i="8"/>
  <c r="J979" i="8"/>
  <c r="J978" i="8"/>
  <c r="J977" i="8"/>
  <c r="J976" i="8"/>
  <c r="J975" i="8"/>
  <c r="J974" i="8"/>
  <c r="J973" i="8"/>
  <c r="J972" i="8"/>
  <c r="J971" i="8"/>
  <c r="J970" i="8"/>
  <c r="J969" i="8"/>
  <c r="J968" i="8"/>
  <c r="J967" i="8"/>
  <c r="J966" i="8"/>
  <c r="J965" i="8"/>
  <c r="J964" i="8"/>
  <c r="J963" i="8"/>
  <c r="J962" i="8"/>
  <c r="J961" i="8"/>
  <c r="J960" i="8"/>
  <c r="J959" i="8"/>
  <c r="J958" i="8"/>
  <c r="J957" i="8"/>
  <c r="J956" i="8"/>
  <c r="J955" i="8"/>
  <c r="J954" i="8"/>
  <c r="J953" i="8"/>
  <c r="J952" i="8"/>
  <c r="J951" i="8"/>
  <c r="J950" i="8"/>
  <c r="J949" i="8"/>
  <c r="J948" i="8"/>
  <c r="J947" i="8"/>
  <c r="J946" i="8"/>
  <c r="J945" i="8"/>
  <c r="J944" i="8"/>
  <c r="J943" i="8"/>
  <c r="J942" i="8"/>
  <c r="J941" i="8"/>
  <c r="J940" i="8"/>
  <c r="J939" i="8"/>
  <c r="J938" i="8"/>
  <c r="J937" i="8"/>
  <c r="J936" i="8"/>
  <c r="J935" i="8"/>
  <c r="J934" i="8"/>
  <c r="J933" i="8"/>
  <c r="J932" i="8"/>
  <c r="J931" i="8"/>
  <c r="J930" i="8"/>
  <c r="J929" i="8"/>
  <c r="J928" i="8"/>
  <c r="J927" i="8"/>
  <c r="J926" i="8"/>
  <c r="J925" i="8"/>
  <c r="J924" i="8"/>
  <c r="J923" i="8"/>
  <c r="J922" i="8"/>
  <c r="J921" i="8"/>
  <c r="J920" i="8"/>
  <c r="J919" i="8"/>
  <c r="J918" i="8"/>
  <c r="J917" i="8"/>
  <c r="J916" i="8"/>
  <c r="J915" i="8"/>
  <c r="J914" i="8"/>
  <c r="J913" i="8"/>
  <c r="J912" i="8"/>
  <c r="J911" i="8"/>
  <c r="J910" i="8"/>
  <c r="J909" i="8"/>
  <c r="J908" i="8"/>
  <c r="J907" i="8"/>
  <c r="J906" i="8"/>
  <c r="J905" i="8"/>
  <c r="J904" i="8"/>
  <c r="J903" i="8"/>
  <c r="J902" i="8"/>
  <c r="J901" i="8"/>
  <c r="J900" i="8"/>
  <c r="J899" i="8"/>
  <c r="J898" i="8"/>
  <c r="J897" i="8"/>
  <c r="J896" i="8"/>
  <c r="J895" i="8"/>
  <c r="J894" i="8"/>
  <c r="J893" i="8"/>
  <c r="J892" i="8"/>
  <c r="J891" i="8"/>
  <c r="J890" i="8"/>
  <c r="J889" i="8"/>
  <c r="J888" i="8"/>
  <c r="J887" i="8"/>
  <c r="J886" i="8"/>
  <c r="J885" i="8"/>
  <c r="J884" i="8"/>
  <c r="J883" i="8"/>
  <c r="J882" i="8"/>
  <c r="J881" i="8"/>
  <c r="J880" i="8"/>
  <c r="J879" i="8"/>
  <c r="J878" i="8"/>
  <c r="J877" i="8"/>
  <c r="J876" i="8"/>
  <c r="J875" i="8"/>
  <c r="J874" i="8"/>
  <c r="J873" i="8"/>
  <c r="J872" i="8"/>
  <c r="J871" i="8"/>
  <c r="J870" i="8"/>
  <c r="J869" i="8"/>
  <c r="J868" i="8"/>
  <c r="J867" i="8"/>
  <c r="J866" i="8"/>
  <c r="J865" i="8"/>
  <c r="J864" i="8"/>
  <c r="J863" i="8"/>
  <c r="J862" i="8"/>
  <c r="J861" i="8"/>
  <c r="J860" i="8"/>
  <c r="J859" i="8"/>
  <c r="J858" i="8"/>
  <c r="J857" i="8"/>
  <c r="J856" i="8"/>
  <c r="J855" i="8"/>
  <c r="J854" i="8"/>
  <c r="J853" i="8"/>
  <c r="J852" i="8"/>
  <c r="J851" i="8"/>
  <c r="J850" i="8"/>
  <c r="J849" i="8"/>
  <c r="J848" i="8"/>
  <c r="J847" i="8"/>
  <c r="J846" i="8"/>
  <c r="J845" i="8"/>
  <c r="J844" i="8"/>
  <c r="J843" i="8"/>
  <c r="J842" i="8"/>
  <c r="J841" i="8"/>
  <c r="J840" i="8"/>
  <c r="J839" i="8"/>
  <c r="J838" i="8"/>
  <c r="J837" i="8"/>
  <c r="J836" i="8"/>
  <c r="J835" i="8"/>
  <c r="J834" i="8"/>
  <c r="J833" i="8"/>
  <c r="J832" i="8"/>
  <c r="J831" i="8"/>
  <c r="J830" i="8"/>
  <c r="J829" i="8"/>
  <c r="J828" i="8"/>
  <c r="J827" i="8"/>
  <c r="J826" i="8"/>
  <c r="J825" i="8"/>
  <c r="J824" i="8"/>
  <c r="J823" i="8"/>
  <c r="J822" i="8"/>
  <c r="J821" i="8"/>
  <c r="J820" i="8"/>
  <c r="J819" i="8"/>
  <c r="J818" i="8"/>
  <c r="J817" i="8"/>
  <c r="J816" i="8"/>
  <c r="J815" i="8"/>
  <c r="J814" i="8"/>
  <c r="J813" i="8"/>
  <c r="J812" i="8"/>
  <c r="J811" i="8"/>
  <c r="J810" i="8"/>
  <c r="J809" i="8"/>
  <c r="J808" i="8"/>
  <c r="J807" i="8"/>
  <c r="J806" i="8"/>
  <c r="J805" i="8"/>
  <c r="J804" i="8"/>
  <c r="J803" i="8"/>
  <c r="J802" i="8"/>
  <c r="J801" i="8"/>
  <c r="J800" i="8"/>
  <c r="J799" i="8"/>
  <c r="J798" i="8"/>
  <c r="J797" i="8"/>
  <c r="J796" i="8"/>
  <c r="J795" i="8"/>
  <c r="J794" i="8"/>
  <c r="J793" i="8"/>
  <c r="J792" i="8"/>
  <c r="J791" i="8"/>
  <c r="J790" i="8"/>
  <c r="J789" i="8"/>
  <c r="J788" i="8"/>
  <c r="J787" i="8"/>
  <c r="J786" i="8"/>
  <c r="J785" i="8"/>
  <c r="J784" i="8"/>
  <c r="J783" i="8"/>
  <c r="J782" i="8"/>
  <c r="J781" i="8"/>
  <c r="J780" i="8"/>
  <c r="J779" i="8"/>
  <c r="J778" i="8"/>
  <c r="J777" i="8"/>
  <c r="J776" i="8"/>
  <c r="J775" i="8"/>
  <c r="J774" i="8"/>
  <c r="J773" i="8"/>
  <c r="J772" i="8"/>
  <c r="J771" i="8"/>
  <c r="J770" i="8"/>
  <c r="J769" i="8"/>
  <c r="J768" i="8"/>
  <c r="J767" i="8"/>
  <c r="J766" i="8"/>
  <c r="J765" i="8"/>
  <c r="J764" i="8"/>
  <c r="J763" i="8"/>
  <c r="J762" i="8"/>
  <c r="J761" i="8"/>
  <c r="J760" i="8"/>
  <c r="J759" i="8"/>
  <c r="J758" i="8"/>
  <c r="J757" i="8"/>
  <c r="J756" i="8"/>
  <c r="J755" i="8"/>
  <c r="J754" i="8"/>
  <c r="J753" i="8"/>
  <c r="J752" i="8"/>
  <c r="J751" i="8"/>
  <c r="J750" i="8"/>
  <c r="J749" i="8"/>
  <c r="J748" i="8"/>
  <c r="J747" i="8"/>
  <c r="J746" i="8"/>
  <c r="J745" i="8"/>
  <c r="J744" i="8"/>
  <c r="J743" i="8"/>
  <c r="J742" i="8"/>
  <c r="J741" i="8"/>
  <c r="J740" i="8"/>
  <c r="J739" i="8"/>
  <c r="J738" i="8"/>
  <c r="J737" i="8"/>
  <c r="J736" i="8"/>
  <c r="J735" i="8"/>
  <c r="J734" i="8"/>
  <c r="J733" i="8"/>
  <c r="J732" i="8"/>
  <c r="J731" i="8"/>
  <c r="J730" i="8"/>
  <c r="J729" i="8"/>
  <c r="J728" i="8"/>
  <c r="J727" i="8"/>
  <c r="J726" i="8"/>
  <c r="J725" i="8"/>
  <c r="J724" i="8"/>
  <c r="J723" i="8"/>
  <c r="J722" i="8"/>
  <c r="J721" i="8"/>
  <c r="J720" i="8"/>
  <c r="J719" i="8"/>
  <c r="J718" i="8"/>
  <c r="J717" i="8"/>
  <c r="J716" i="8"/>
  <c r="J715" i="8"/>
  <c r="J714" i="8"/>
  <c r="J713" i="8"/>
  <c r="J712" i="8"/>
  <c r="J711" i="8"/>
  <c r="J710" i="8"/>
  <c r="J709" i="8"/>
  <c r="J708" i="8"/>
  <c r="J707" i="8"/>
  <c r="J706" i="8"/>
  <c r="J705" i="8"/>
  <c r="J704" i="8"/>
  <c r="J703" i="8"/>
  <c r="J702" i="8"/>
  <c r="J701" i="8"/>
  <c r="J700" i="8"/>
  <c r="J699" i="8"/>
  <c r="J698" i="8"/>
  <c r="J697" i="8"/>
  <c r="J696" i="8"/>
  <c r="J695" i="8"/>
  <c r="J694" i="8"/>
  <c r="J693" i="8"/>
  <c r="J692" i="8"/>
  <c r="J691" i="8"/>
  <c r="J690" i="8"/>
  <c r="J689" i="8"/>
  <c r="J688" i="8"/>
  <c r="J687" i="8"/>
  <c r="J686" i="8"/>
  <c r="J685" i="8"/>
  <c r="J684" i="8"/>
  <c r="J683" i="8"/>
  <c r="J682" i="8"/>
  <c r="J681" i="8"/>
  <c r="J680" i="8"/>
  <c r="J679" i="8"/>
  <c r="J678" i="8"/>
  <c r="J677" i="8"/>
  <c r="J676" i="8"/>
  <c r="J675" i="8"/>
  <c r="J674" i="8"/>
  <c r="J673" i="8"/>
  <c r="J672" i="8"/>
  <c r="J671" i="8"/>
  <c r="J670" i="8"/>
  <c r="J669" i="8"/>
  <c r="J668" i="8"/>
  <c r="J667" i="8"/>
  <c r="J666" i="8"/>
  <c r="J665" i="8"/>
  <c r="J664" i="8"/>
  <c r="J663" i="8"/>
  <c r="J662" i="8"/>
  <c r="J661" i="8"/>
  <c r="J660" i="8"/>
  <c r="J659" i="8"/>
  <c r="J658" i="8"/>
  <c r="J657" i="8"/>
  <c r="J656" i="8"/>
  <c r="J655" i="8"/>
  <c r="J654" i="8"/>
  <c r="J653" i="8"/>
  <c r="J652" i="8"/>
  <c r="J651" i="8"/>
  <c r="J650" i="8"/>
  <c r="J649" i="8"/>
  <c r="J648" i="8"/>
  <c r="J647" i="8"/>
  <c r="J646" i="8"/>
  <c r="J645" i="8"/>
  <c r="J644" i="8"/>
  <c r="J643" i="8"/>
  <c r="J642" i="8"/>
  <c r="J641" i="8"/>
  <c r="J640" i="8"/>
  <c r="J639" i="8"/>
  <c r="J638" i="8"/>
  <c r="J637" i="8"/>
  <c r="J636" i="8"/>
  <c r="J635" i="8"/>
  <c r="J634" i="8"/>
  <c r="J633" i="8"/>
  <c r="J632" i="8"/>
  <c r="J631" i="8"/>
  <c r="J630" i="8"/>
  <c r="J629" i="8"/>
  <c r="J628" i="8"/>
  <c r="J627" i="8"/>
  <c r="J626" i="8"/>
  <c r="J625" i="8"/>
  <c r="J624" i="8"/>
  <c r="J623" i="8"/>
  <c r="J622" i="8"/>
  <c r="J621" i="8"/>
  <c r="J620" i="8"/>
  <c r="J619" i="8"/>
  <c r="J618" i="8"/>
  <c r="J617" i="8"/>
  <c r="J616" i="8"/>
  <c r="J615" i="8"/>
  <c r="J614" i="8"/>
  <c r="J613" i="8"/>
  <c r="J612" i="8"/>
  <c r="J611" i="8"/>
  <c r="J610" i="8"/>
  <c r="J609" i="8"/>
  <c r="J608" i="8"/>
  <c r="J607" i="8"/>
  <c r="J606" i="8"/>
  <c r="J605" i="8"/>
  <c r="J604" i="8"/>
  <c r="J603" i="8"/>
  <c r="J602" i="8"/>
  <c r="J601" i="8"/>
  <c r="J600" i="8"/>
  <c r="J599" i="8"/>
  <c r="J598" i="8"/>
  <c r="J597" i="8"/>
  <c r="J596" i="8"/>
  <c r="J595" i="8"/>
  <c r="J594" i="8"/>
  <c r="J593" i="8"/>
  <c r="J592" i="8"/>
  <c r="J591" i="8"/>
  <c r="J590" i="8"/>
  <c r="J589" i="8"/>
  <c r="J588" i="8"/>
  <c r="J587" i="8"/>
  <c r="J586" i="8"/>
  <c r="J585" i="8"/>
  <c r="J584" i="8"/>
  <c r="J583" i="8"/>
  <c r="J582" i="8"/>
  <c r="J581" i="8"/>
  <c r="J580" i="8"/>
  <c r="J579" i="8"/>
  <c r="J578" i="8"/>
  <c r="J577" i="8"/>
  <c r="J576" i="8"/>
  <c r="J575" i="8"/>
  <c r="J574" i="8"/>
  <c r="J573" i="8"/>
  <c r="J572" i="8"/>
  <c r="J571" i="8"/>
  <c r="J570" i="8"/>
  <c r="J569" i="8"/>
  <c r="J568" i="8"/>
  <c r="J567" i="8"/>
  <c r="J566" i="8"/>
  <c r="J565" i="8"/>
  <c r="J564" i="8"/>
  <c r="J563" i="8"/>
  <c r="J562" i="8"/>
  <c r="J561" i="8"/>
  <c r="J560" i="8"/>
  <c r="J559" i="8"/>
  <c r="J558" i="8"/>
  <c r="J557" i="8"/>
  <c r="J556" i="8"/>
  <c r="J555" i="8"/>
  <c r="J554" i="8"/>
  <c r="J553" i="8"/>
  <c r="J552" i="8"/>
  <c r="J551" i="8"/>
  <c r="J550" i="8"/>
  <c r="J549" i="8"/>
  <c r="J548" i="8"/>
  <c r="J547" i="8"/>
  <c r="J546" i="8"/>
  <c r="J545" i="8"/>
  <c r="J544" i="8"/>
  <c r="J543" i="8"/>
  <c r="J542" i="8"/>
  <c r="J541" i="8"/>
  <c r="J540" i="8"/>
  <c r="J539" i="8"/>
  <c r="J538" i="8"/>
  <c r="J537" i="8"/>
  <c r="J536" i="8"/>
  <c r="J535" i="8"/>
  <c r="J534" i="8"/>
  <c r="J533" i="8"/>
  <c r="J532" i="8"/>
  <c r="J531" i="8"/>
  <c r="J530" i="8"/>
  <c r="J529" i="8"/>
  <c r="J528" i="8"/>
  <c r="J527" i="8"/>
  <c r="J526" i="8"/>
  <c r="J525" i="8"/>
  <c r="J524" i="8"/>
  <c r="J523" i="8"/>
  <c r="J522" i="8"/>
  <c r="J521" i="8"/>
  <c r="J520" i="8"/>
  <c r="J519" i="8"/>
  <c r="J518" i="8"/>
  <c r="J517" i="8"/>
  <c r="J516" i="8"/>
  <c r="J515" i="8"/>
  <c r="J514" i="8"/>
  <c r="J513" i="8"/>
  <c r="J512" i="8"/>
  <c r="J511" i="8"/>
  <c r="J510" i="8"/>
  <c r="J509" i="8"/>
  <c r="J508" i="8"/>
  <c r="J507" i="8"/>
  <c r="J506" i="8"/>
  <c r="J505" i="8"/>
  <c r="J504" i="8"/>
  <c r="J503" i="8"/>
  <c r="J502" i="8"/>
  <c r="J501" i="8"/>
  <c r="J500" i="8"/>
  <c r="J499" i="8"/>
  <c r="J498" i="8"/>
  <c r="J497" i="8"/>
  <c r="J496" i="8"/>
  <c r="J495" i="8"/>
  <c r="J494" i="8"/>
  <c r="J493" i="8"/>
  <c r="J492" i="8"/>
  <c r="J491" i="8"/>
  <c r="J490" i="8"/>
  <c r="J489" i="8"/>
  <c r="J488" i="8"/>
  <c r="J487" i="8"/>
  <c r="J486" i="8"/>
  <c r="J485" i="8"/>
  <c r="J484" i="8"/>
  <c r="J483" i="8"/>
  <c r="J482" i="8"/>
  <c r="J481" i="8"/>
  <c r="J480" i="8"/>
  <c r="J479" i="8"/>
  <c r="J478" i="8"/>
  <c r="J477" i="8"/>
  <c r="J476" i="8"/>
  <c r="J475" i="8"/>
  <c r="J474" i="8"/>
  <c r="J473" i="8"/>
  <c r="J472" i="8"/>
  <c r="J471" i="8"/>
  <c r="J470" i="8"/>
  <c r="J469" i="8"/>
  <c r="J468" i="8"/>
  <c r="J467" i="8"/>
  <c r="J466" i="8"/>
  <c r="J465" i="8"/>
  <c r="J464" i="8"/>
  <c r="J463" i="8"/>
  <c r="J462" i="8"/>
  <c r="J461" i="8"/>
  <c r="J460" i="8"/>
  <c r="J459" i="8"/>
  <c r="J458" i="8"/>
  <c r="J457" i="8"/>
  <c r="J456" i="8"/>
  <c r="J455" i="8"/>
  <c r="J454" i="8"/>
  <c r="J453" i="8"/>
  <c r="J452" i="8"/>
  <c r="J451" i="8"/>
  <c r="J450" i="8"/>
  <c r="J449" i="8"/>
  <c r="J448" i="8"/>
  <c r="J447" i="8"/>
  <c r="J446" i="8"/>
  <c r="J445" i="8"/>
  <c r="J444" i="8"/>
  <c r="J443" i="8"/>
  <c r="J442" i="8"/>
  <c r="J441" i="8"/>
  <c r="J440" i="8"/>
  <c r="J439" i="8"/>
  <c r="J438" i="8"/>
  <c r="J437" i="8"/>
  <c r="J436" i="8"/>
  <c r="J435" i="8"/>
  <c r="J434" i="8"/>
  <c r="J433" i="8"/>
  <c r="J432" i="8"/>
  <c r="J431" i="8"/>
  <c r="J430" i="8"/>
  <c r="J429" i="8"/>
  <c r="J428" i="8"/>
  <c r="J427" i="8"/>
  <c r="J426" i="8"/>
  <c r="J425" i="8"/>
  <c r="J424" i="8"/>
  <c r="J423" i="8"/>
  <c r="J422" i="8"/>
  <c r="J421" i="8"/>
  <c r="J420" i="8"/>
  <c r="J419" i="8"/>
  <c r="J418" i="8"/>
  <c r="J417" i="8"/>
  <c r="J416" i="8"/>
  <c r="J415" i="8"/>
  <c r="J414" i="8"/>
  <c r="J413" i="8"/>
  <c r="J412" i="8"/>
  <c r="J411" i="8"/>
  <c r="J410" i="8"/>
  <c r="J409" i="8"/>
  <c r="J408" i="8"/>
  <c r="J407" i="8"/>
  <c r="J406" i="8"/>
  <c r="J405" i="8"/>
  <c r="J404" i="8"/>
  <c r="J403" i="8"/>
  <c r="J402" i="8"/>
  <c r="J401" i="8"/>
  <c r="J400" i="8"/>
  <c r="J399" i="8"/>
  <c r="J398" i="8"/>
  <c r="J397" i="8"/>
  <c r="J396" i="8"/>
  <c r="J395" i="8"/>
  <c r="J394" i="8"/>
  <c r="J393" i="8"/>
  <c r="J392" i="8"/>
  <c r="J391" i="8"/>
  <c r="J390" i="8"/>
  <c r="J389" i="8"/>
  <c r="J388" i="8"/>
  <c r="J387" i="8"/>
  <c r="J386" i="8"/>
  <c r="J385" i="8"/>
  <c r="J384" i="8"/>
  <c r="J383" i="8"/>
  <c r="J382" i="8"/>
  <c r="J381" i="8"/>
  <c r="J380" i="8"/>
  <c r="J379" i="8"/>
  <c r="J378" i="8"/>
  <c r="J377" i="8"/>
  <c r="J376" i="8"/>
  <c r="J375" i="8"/>
  <c r="J374" i="8"/>
  <c r="J373" i="8"/>
  <c r="J372" i="8"/>
  <c r="J371" i="8"/>
  <c r="J370" i="8"/>
  <c r="J369" i="8"/>
  <c r="J368" i="8"/>
  <c r="J367" i="8"/>
  <c r="J366" i="8"/>
  <c r="J365" i="8"/>
  <c r="J364" i="8"/>
  <c r="J363" i="8"/>
  <c r="J362" i="8"/>
  <c r="J361" i="8"/>
  <c r="J360" i="8"/>
  <c r="J359" i="8"/>
  <c r="J358" i="8"/>
  <c r="J357" i="8"/>
  <c r="J356" i="8"/>
  <c r="J355" i="8"/>
  <c r="J354" i="8"/>
  <c r="J353" i="8"/>
  <c r="J352" i="8"/>
  <c r="J351" i="8"/>
  <c r="J350" i="8"/>
  <c r="J349" i="8"/>
  <c r="J348" i="8"/>
  <c r="J347" i="8"/>
  <c r="J346" i="8"/>
  <c r="J345" i="8"/>
  <c r="J344" i="8"/>
  <c r="J343" i="8"/>
  <c r="J342" i="8"/>
  <c r="J341" i="8"/>
  <c r="J340" i="8"/>
  <c r="J339" i="8"/>
  <c r="J338" i="8"/>
  <c r="J337" i="8"/>
  <c r="J336" i="8"/>
  <c r="J335" i="8"/>
  <c r="J334" i="8"/>
  <c r="J333" i="8"/>
  <c r="J332" i="8"/>
  <c r="J331" i="8"/>
  <c r="J330" i="8"/>
  <c r="J329" i="8"/>
  <c r="J328" i="8"/>
  <c r="J327" i="8"/>
  <c r="J326" i="8"/>
  <c r="J325" i="8"/>
  <c r="J324" i="8"/>
  <c r="J323" i="8"/>
  <c r="J322" i="8"/>
  <c r="J321" i="8"/>
  <c r="J320" i="8"/>
  <c r="J319" i="8"/>
  <c r="J318" i="8"/>
  <c r="J317" i="8"/>
  <c r="J316" i="8"/>
  <c r="J315" i="8"/>
  <c r="J314" i="8"/>
  <c r="J313" i="8"/>
  <c r="J312" i="8"/>
  <c r="J311" i="8"/>
  <c r="J310" i="8"/>
  <c r="J309" i="8"/>
  <c r="J308" i="8"/>
  <c r="J307" i="8"/>
  <c r="J306" i="8"/>
  <c r="J305" i="8"/>
  <c r="J304" i="8"/>
  <c r="J303" i="8"/>
  <c r="J302" i="8"/>
  <c r="J301" i="8"/>
  <c r="J300" i="8"/>
  <c r="J299" i="8"/>
  <c r="J298" i="8"/>
  <c r="J297" i="8"/>
  <c r="J296" i="8"/>
  <c r="J295" i="8"/>
  <c r="J294" i="8"/>
  <c r="J293" i="8"/>
  <c r="J292" i="8"/>
  <c r="J291" i="8"/>
  <c r="J290" i="8"/>
  <c r="J289" i="8"/>
  <c r="J288" i="8"/>
  <c r="J287" i="8"/>
  <c r="J286" i="8"/>
  <c r="J285" i="8"/>
  <c r="J284" i="8"/>
  <c r="J283" i="8"/>
  <c r="J282" i="8"/>
  <c r="J281" i="8"/>
  <c r="J280" i="8"/>
  <c r="J279" i="8"/>
  <c r="J278" i="8"/>
  <c r="J277" i="8"/>
  <c r="J276" i="8"/>
  <c r="J275" i="8"/>
  <c r="J274" i="8"/>
  <c r="J273" i="8"/>
  <c r="J272" i="8"/>
  <c r="J271" i="8"/>
  <c r="J270" i="8"/>
  <c r="J269" i="8"/>
  <c r="J268" i="8"/>
  <c r="J267" i="8"/>
  <c r="J266" i="8"/>
  <c r="J265" i="8"/>
  <c r="J264" i="8"/>
  <c r="J263" i="8"/>
  <c r="J262" i="8"/>
  <c r="J261" i="8"/>
  <c r="J260" i="8"/>
  <c r="J259" i="8"/>
  <c r="J258" i="8"/>
  <c r="J257" i="8"/>
  <c r="J256" i="8"/>
  <c r="J255" i="8"/>
  <c r="J254" i="8"/>
  <c r="J253" i="8"/>
  <c r="J252" i="8"/>
  <c r="J251" i="8"/>
  <c r="J250" i="8"/>
  <c r="J249" i="8"/>
  <c r="J248" i="8"/>
  <c r="J247" i="8"/>
  <c r="J246" i="8"/>
  <c r="J245" i="8"/>
  <c r="J244" i="8"/>
  <c r="J243" i="8"/>
  <c r="J242" i="8"/>
  <c r="J241" i="8"/>
  <c r="J240" i="8"/>
  <c r="J239" i="8"/>
  <c r="J238" i="8"/>
  <c r="J237" i="8"/>
  <c r="J236" i="8"/>
  <c r="J235" i="8"/>
  <c r="J234" i="8"/>
  <c r="J233" i="8"/>
  <c r="J232" i="8"/>
  <c r="J231" i="8"/>
  <c r="J230" i="8"/>
  <c r="J229" i="8"/>
  <c r="J228" i="8"/>
  <c r="J227" i="8"/>
  <c r="J226" i="8"/>
  <c r="J225" i="8"/>
  <c r="J224" i="8"/>
  <c r="J223" i="8"/>
  <c r="J222" i="8"/>
  <c r="J221" i="8"/>
  <c r="J220" i="8"/>
  <c r="J219" i="8"/>
  <c r="J218" i="8"/>
  <c r="J217" i="8"/>
  <c r="J216" i="8"/>
  <c r="J215" i="8"/>
  <c r="J214" i="8"/>
  <c r="J213" i="8"/>
  <c r="J212" i="8"/>
  <c r="J211" i="8"/>
  <c r="J210" i="8"/>
  <c r="J209" i="8"/>
  <c r="J208" i="8"/>
  <c r="J207" i="8"/>
  <c r="J206" i="8"/>
  <c r="J205" i="8"/>
  <c r="J204" i="8"/>
  <c r="J203" i="8"/>
  <c r="J202" i="8"/>
  <c r="J201" i="8"/>
  <c r="J200" i="8"/>
  <c r="J199" i="8"/>
  <c r="J198" i="8"/>
  <c r="J197" i="8"/>
  <c r="J196" i="8"/>
  <c r="J195" i="8"/>
  <c r="J194" i="8"/>
  <c r="J193" i="8"/>
  <c r="J192" i="8"/>
  <c r="J191" i="8"/>
  <c r="J190" i="8"/>
  <c r="J189" i="8"/>
  <c r="J188" i="8"/>
  <c r="J187" i="8"/>
  <c r="J186" i="8"/>
  <c r="J185" i="8"/>
  <c r="J184" i="8"/>
  <c r="J183" i="8"/>
  <c r="J182" i="8"/>
  <c r="J181" i="8"/>
  <c r="J180" i="8"/>
  <c r="J179" i="8"/>
  <c r="J178" i="8"/>
  <c r="J177" i="8"/>
  <c r="J176" i="8"/>
  <c r="J175" i="8"/>
  <c r="J174" i="8"/>
  <c r="J173" i="8"/>
  <c r="J172" i="8"/>
  <c r="J171" i="8"/>
  <c r="J170" i="8"/>
  <c r="J169" i="8"/>
  <c r="J168" i="8"/>
  <c r="J167" i="8"/>
  <c r="J166" i="8"/>
  <c r="J165" i="8"/>
  <c r="J164" i="8"/>
  <c r="J163" i="8"/>
  <c r="J162" i="8"/>
  <c r="J161" i="8"/>
  <c r="J160" i="8"/>
  <c r="J159" i="8"/>
  <c r="J158" i="8"/>
  <c r="J157" i="8"/>
  <c r="J156" i="8"/>
  <c r="J155" i="8"/>
  <c r="J154" i="8"/>
  <c r="J153" i="8"/>
  <c r="J152" i="8"/>
  <c r="J151" i="8"/>
  <c r="J150" i="8"/>
  <c r="J149" i="8"/>
  <c r="J148" i="8"/>
  <c r="J147" i="8"/>
  <c r="J146" i="8"/>
  <c r="J145" i="8"/>
  <c r="J144" i="8"/>
  <c r="J143" i="8"/>
  <c r="J142" i="8"/>
  <c r="J141" i="8"/>
  <c r="J140" i="8"/>
  <c r="J139" i="8"/>
  <c r="J138" i="8"/>
  <c r="J137" i="8"/>
  <c r="J136" i="8"/>
  <c r="J135"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J96" i="8"/>
  <c r="J95" i="8"/>
  <c r="J94" i="8"/>
  <c r="J93" i="8"/>
  <c r="J92" i="8"/>
  <c r="J91" i="8"/>
  <c r="J90" i="8"/>
  <c r="J89" i="8"/>
  <c r="J88" i="8"/>
  <c r="J87" i="8"/>
  <c r="J86" i="8"/>
  <c r="J85" i="8"/>
  <c r="J84" i="8"/>
  <c r="J83" i="8"/>
  <c r="J82" i="8"/>
  <c r="J81" i="8"/>
  <c r="J80" i="8"/>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J8" i="8"/>
  <c r="J7" i="8"/>
  <c r="J6" i="8"/>
  <c r="J5" i="8"/>
  <c r="J4" i="8"/>
  <c r="J3" i="8"/>
  <c r="J2" i="8"/>
  <c r="G1909" i="8"/>
  <c r="G1908" i="8"/>
  <c r="G1907" i="8"/>
  <c r="G1906" i="8"/>
  <c r="G1905" i="8"/>
  <c r="G1904" i="8"/>
  <c r="G1903" i="8"/>
  <c r="G1902" i="8"/>
  <c r="G1901" i="8"/>
  <c r="G1900" i="8"/>
  <c r="G1899" i="8"/>
  <c r="G1898" i="8"/>
  <c r="G1897" i="8"/>
  <c r="G1896" i="8"/>
  <c r="G1895" i="8"/>
  <c r="G1894" i="8"/>
  <c r="G1893" i="8"/>
  <c r="G1892" i="8"/>
  <c r="G1891" i="8"/>
  <c r="G1890" i="8"/>
  <c r="G1889" i="8"/>
  <c r="G1888" i="8"/>
  <c r="G1887" i="8"/>
  <c r="G1886" i="8"/>
  <c r="G1885" i="8"/>
  <c r="G1884" i="8"/>
  <c r="G1883" i="8"/>
  <c r="G1882" i="8"/>
  <c r="G1881" i="8"/>
  <c r="G1880" i="8"/>
  <c r="G1879" i="8"/>
  <c r="G1878" i="8"/>
  <c r="G1877" i="8"/>
  <c r="G1876" i="8"/>
  <c r="G1875" i="8"/>
  <c r="G1874" i="8"/>
  <c r="G1873" i="8"/>
  <c r="G1872" i="8"/>
  <c r="G1871" i="8"/>
  <c r="G1870" i="8"/>
  <c r="G1869" i="8"/>
  <c r="G1868" i="8"/>
  <c r="G1867" i="8"/>
  <c r="G1866" i="8"/>
  <c r="G1865" i="8"/>
  <c r="G1864" i="8"/>
  <c r="G1863" i="8"/>
  <c r="G1862" i="8"/>
  <c r="G1861" i="8"/>
  <c r="G1860" i="8"/>
  <c r="G1859" i="8"/>
  <c r="G1858" i="8"/>
  <c r="G1857" i="8"/>
  <c r="G1856" i="8"/>
  <c r="G1855" i="8"/>
  <c r="G1854" i="8"/>
  <c r="G1853" i="8"/>
  <c r="G1852" i="8"/>
  <c r="G1851" i="8"/>
  <c r="G1850" i="8"/>
  <c r="G1849" i="8"/>
  <c r="G1848" i="8"/>
  <c r="G1847" i="8"/>
  <c r="G1846" i="8"/>
  <c r="G1845" i="8"/>
  <c r="G1844" i="8"/>
  <c r="G1843" i="8"/>
  <c r="G1842" i="8"/>
  <c r="G1841" i="8"/>
  <c r="G1840" i="8"/>
  <c r="G1839" i="8"/>
  <c r="G1838" i="8"/>
  <c r="G1837" i="8"/>
  <c r="G1836" i="8"/>
  <c r="G1835" i="8"/>
  <c r="G1834" i="8"/>
  <c r="G1833" i="8"/>
  <c r="G1832" i="8"/>
  <c r="G1831" i="8"/>
  <c r="G1830" i="8"/>
  <c r="G1829" i="8"/>
  <c r="G1828" i="8"/>
  <c r="G1827" i="8"/>
  <c r="G1826" i="8"/>
  <c r="G1825" i="8"/>
  <c r="G1824" i="8"/>
  <c r="G1823" i="8"/>
  <c r="G1822" i="8"/>
  <c r="G1821" i="8"/>
  <c r="G1820" i="8"/>
  <c r="G1819" i="8"/>
  <c r="G1818" i="8"/>
  <c r="G1817" i="8"/>
  <c r="G1816" i="8"/>
  <c r="G1815" i="8"/>
  <c r="G1814" i="8"/>
  <c r="G1813" i="8"/>
  <c r="G1812" i="8"/>
  <c r="G1811" i="8"/>
  <c r="G1810" i="8"/>
  <c r="G1809" i="8"/>
  <c r="G1808" i="8"/>
  <c r="G1807" i="8"/>
  <c r="G1806" i="8"/>
  <c r="G1805" i="8"/>
  <c r="G1804" i="8"/>
  <c r="G1803" i="8"/>
  <c r="G1802" i="8"/>
  <c r="G1801" i="8"/>
  <c r="G1800" i="8"/>
  <c r="G1799" i="8"/>
  <c r="G1798" i="8"/>
  <c r="G1797" i="8"/>
  <c r="G1796" i="8"/>
  <c r="G1795" i="8"/>
  <c r="G1794" i="8"/>
  <c r="G1793" i="8"/>
  <c r="G1792" i="8"/>
  <c r="G1791" i="8"/>
  <c r="G1790" i="8"/>
  <c r="G1789" i="8"/>
  <c r="G1788" i="8"/>
  <c r="G1787" i="8"/>
  <c r="G1786" i="8"/>
  <c r="G1785" i="8"/>
  <c r="G1784" i="8"/>
  <c r="G1783" i="8"/>
  <c r="G1782" i="8"/>
  <c r="G1781" i="8"/>
  <c r="G1780" i="8"/>
  <c r="G1779" i="8"/>
  <c r="G1778" i="8"/>
  <c r="G1777" i="8"/>
  <c r="G1776" i="8"/>
  <c r="G1775" i="8"/>
  <c r="G1774" i="8"/>
  <c r="G1773" i="8"/>
  <c r="G1772" i="8"/>
  <c r="G1771" i="8"/>
  <c r="G1770" i="8"/>
  <c r="G1769" i="8"/>
  <c r="G1768" i="8"/>
  <c r="G1767" i="8"/>
  <c r="G1766" i="8"/>
  <c r="G1765" i="8"/>
  <c r="G1764" i="8"/>
  <c r="G1763" i="8"/>
  <c r="G1762" i="8"/>
  <c r="G1761" i="8"/>
  <c r="G1760" i="8"/>
  <c r="G1759" i="8"/>
  <c r="G1758" i="8"/>
  <c r="G1757" i="8"/>
  <c r="G1756" i="8"/>
  <c r="G1755" i="8"/>
  <c r="G1754" i="8"/>
  <c r="G1753" i="8"/>
  <c r="G1752" i="8"/>
  <c r="G1751" i="8"/>
  <c r="G1750" i="8"/>
  <c r="G1749" i="8"/>
  <c r="G1748" i="8"/>
  <c r="G1747" i="8"/>
  <c r="G1746" i="8"/>
  <c r="G1745" i="8"/>
  <c r="G1744" i="8"/>
  <c r="G1743" i="8"/>
  <c r="G1742" i="8"/>
  <c r="G1741" i="8"/>
  <c r="G1740" i="8"/>
  <c r="G1739" i="8"/>
  <c r="G1738" i="8"/>
  <c r="G1737" i="8"/>
  <c r="G1736" i="8"/>
  <c r="G1735" i="8"/>
  <c r="G1734" i="8"/>
  <c r="G1733" i="8"/>
  <c r="G1732" i="8"/>
  <c r="G1731" i="8"/>
  <c r="G1730" i="8"/>
  <c r="G1729" i="8"/>
  <c r="G1728" i="8"/>
  <c r="G1727" i="8"/>
  <c r="G1726" i="8"/>
  <c r="G1725" i="8"/>
  <c r="G1724" i="8"/>
  <c r="G1723" i="8"/>
  <c r="G1722" i="8"/>
  <c r="G1721" i="8"/>
  <c r="G1720" i="8"/>
  <c r="G1719" i="8"/>
  <c r="G1718" i="8"/>
  <c r="G1717" i="8"/>
  <c r="G1716" i="8"/>
  <c r="G1715" i="8"/>
  <c r="G1714" i="8"/>
  <c r="G1713" i="8"/>
  <c r="G1712" i="8"/>
  <c r="G1711" i="8"/>
  <c r="G1710" i="8"/>
  <c r="G1709" i="8"/>
  <c r="G1708" i="8"/>
  <c r="G1707" i="8"/>
  <c r="G1706" i="8"/>
  <c r="G1705" i="8"/>
  <c r="G1704" i="8"/>
  <c r="G1703" i="8"/>
  <c r="G1702" i="8"/>
  <c r="G1701" i="8"/>
  <c r="G1700" i="8"/>
  <c r="G1699" i="8"/>
  <c r="G1698" i="8"/>
  <c r="G1697" i="8"/>
  <c r="G1696" i="8"/>
  <c r="G1695" i="8"/>
  <c r="G1694" i="8"/>
  <c r="G1693" i="8"/>
  <c r="G1692" i="8"/>
  <c r="G1691" i="8"/>
  <c r="G1690" i="8"/>
  <c r="G1689" i="8"/>
  <c r="G1688" i="8"/>
  <c r="G1687" i="8"/>
  <c r="G1686" i="8"/>
  <c r="G1685" i="8"/>
  <c r="G1684" i="8"/>
  <c r="G1683" i="8"/>
  <c r="G1682" i="8"/>
  <c r="G1681" i="8"/>
  <c r="G1680" i="8"/>
  <c r="G1679" i="8"/>
  <c r="G1678" i="8"/>
  <c r="G1677" i="8"/>
  <c r="G1676" i="8"/>
  <c r="G1675" i="8"/>
  <c r="G1674" i="8"/>
  <c r="G1673" i="8"/>
  <c r="G1672" i="8"/>
  <c r="G1671" i="8"/>
  <c r="G1670" i="8"/>
  <c r="G1669" i="8"/>
  <c r="G1668" i="8"/>
  <c r="G1667" i="8"/>
  <c r="G1666" i="8"/>
  <c r="G1665" i="8"/>
  <c r="G1664" i="8"/>
  <c r="G1663" i="8"/>
  <c r="G1662" i="8"/>
  <c r="G1661" i="8"/>
  <c r="G1660" i="8"/>
  <c r="G1659" i="8"/>
  <c r="G1658" i="8"/>
  <c r="G1657" i="8"/>
  <c r="G1656" i="8"/>
  <c r="G1655" i="8"/>
  <c r="G1654" i="8"/>
  <c r="G1653" i="8"/>
  <c r="G1652" i="8"/>
  <c r="G1651" i="8"/>
  <c r="G1650" i="8"/>
  <c r="G1649" i="8"/>
  <c r="G1648" i="8"/>
  <c r="G1647" i="8"/>
  <c r="G1646" i="8"/>
  <c r="G1645" i="8"/>
  <c r="G1644" i="8"/>
  <c r="G1643" i="8"/>
  <c r="G1642" i="8"/>
  <c r="G1641" i="8"/>
  <c r="G1640" i="8"/>
  <c r="G1639" i="8"/>
  <c r="G1638" i="8"/>
  <c r="G1637" i="8"/>
  <c r="G1636" i="8"/>
  <c r="G1635" i="8"/>
  <c r="G1634" i="8"/>
  <c r="G1633" i="8"/>
  <c r="G1632" i="8"/>
  <c r="G1631" i="8"/>
  <c r="G1630" i="8"/>
  <c r="G1629" i="8"/>
  <c r="G1628" i="8"/>
  <c r="G1627" i="8"/>
  <c r="G1626" i="8"/>
  <c r="G1625" i="8"/>
  <c r="G1624" i="8"/>
  <c r="G1623" i="8"/>
  <c r="G1622" i="8"/>
  <c r="G1621" i="8"/>
  <c r="G1620" i="8"/>
  <c r="G1619" i="8"/>
  <c r="G1618" i="8"/>
  <c r="G1617" i="8"/>
  <c r="G1616" i="8"/>
  <c r="G1615" i="8"/>
  <c r="G1614" i="8"/>
  <c r="G1613" i="8"/>
  <c r="G1612" i="8"/>
  <c r="G1611" i="8"/>
  <c r="G1610" i="8"/>
  <c r="G1609" i="8"/>
  <c r="G1608" i="8"/>
  <c r="G1607" i="8"/>
  <c r="G1606" i="8"/>
  <c r="G1605" i="8"/>
  <c r="G1604" i="8"/>
  <c r="G1603" i="8"/>
  <c r="G1602" i="8"/>
  <c r="G1601" i="8"/>
  <c r="G1600" i="8"/>
  <c r="G1599" i="8"/>
  <c r="G1598" i="8"/>
  <c r="G1597" i="8"/>
  <c r="G1596" i="8"/>
  <c r="G1595" i="8"/>
  <c r="G1594" i="8"/>
  <c r="G1593" i="8"/>
  <c r="G1592" i="8"/>
  <c r="G1591" i="8"/>
  <c r="G1590" i="8"/>
  <c r="G1589" i="8"/>
  <c r="G1588" i="8"/>
  <c r="G1587" i="8"/>
  <c r="G1586" i="8"/>
  <c r="G1585" i="8"/>
  <c r="G1584" i="8"/>
  <c r="G1583" i="8"/>
  <c r="G1582" i="8"/>
  <c r="G1581" i="8"/>
  <c r="G1580" i="8"/>
  <c r="G1579" i="8"/>
  <c r="G1578" i="8"/>
  <c r="G1577" i="8"/>
  <c r="G1576" i="8"/>
  <c r="G1575" i="8"/>
  <c r="G1574" i="8"/>
  <c r="G1573" i="8"/>
  <c r="G1572" i="8"/>
  <c r="G1571" i="8"/>
  <c r="G1570" i="8"/>
  <c r="G1569" i="8"/>
  <c r="G1568" i="8"/>
  <c r="G1567" i="8"/>
  <c r="G1566" i="8"/>
  <c r="G1565" i="8"/>
  <c r="G1564" i="8"/>
  <c r="G1563" i="8"/>
  <c r="G1562" i="8"/>
  <c r="G1561" i="8"/>
  <c r="G1560" i="8"/>
  <c r="G1559" i="8"/>
  <c r="G1558" i="8"/>
  <c r="G1557" i="8"/>
  <c r="G1556" i="8"/>
  <c r="G1555" i="8"/>
  <c r="G1554" i="8"/>
  <c r="G1553" i="8"/>
  <c r="G1552" i="8"/>
  <c r="G1551" i="8"/>
  <c r="G1550" i="8"/>
  <c r="G1549" i="8"/>
  <c r="G1548" i="8"/>
  <c r="G1547" i="8"/>
  <c r="G1546" i="8"/>
  <c r="G1545" i="8"/>
  <c r="G1544" i="8"/>
  <c r="G1543" i="8"/>
  <c r="G1542" i="8"/>
  <c r="G1541" i="8"/>
  <c r="G1540" i="8"/>
  <c r="G1539" i="8"/>
  <c r="G1538" i="8"/>
  <c r="G1537" i="8"/>
  <c r="G1536" i="8"/>
  <c r="G1535" i="8"/>
  <c r="G1534" i="8"/>
  <c r="G1533" i="8"/>
  <c r="G1532" i="8"/>
  <c r="G1531" i="8"/>
  <c r="G1530" i="8"/>
  <c r="G1529" i="8"/>
  <c r="G1528" i="8"/>
  <c r="G1527" i="8"/>
  <c r="G1526" i="8"/>
  <c r="G1525" i="8"/>
  <c r="G1524" i="8"/>
  <c r="G1523" i="8"/>
  <c r="G1522" i="8"/>
  <c r="G1521" i="8"/>
  <c r="G1520" i="8"/>
  <c r="G1519" i="8"/>
  <c r="G1518" i="8"/>
  <c r="G1517" i="8"/>
  <c r="G1516" i="8"/>
  <c r="G1515" i="8"/>
  <c r="G1514" i="8"/>
  <c r="G1513" i="8"/>
  <c r="G1512" i="8"/>
  <c r="G1511" i="8"/>
  <c r="G1510" i="8"/>
  <c r="G1509" i="8"/>
  <c r="G1508" i="8"/>
  <c r="G1507" i="8"/>
  <c r="G1506" i="8"/>
  <c r="G1505" i="8"/>
  <c r="G1504" i="8"/>
  <c r="G1503" i="8"/>
  <c r="G1502" i="8"/>
  <c r="G1501" i="8"/>
  <c r="G1500" i="8"/>
  <c r="G1499" i="8"/>
  <c r="G1498" i="8"/>
  <c r="G1497" i="8"/>
  <c r="G1496" i="8"/>
  <c r="G1495" i="8"/>
  <c r="G1494" i="8"/>
  <c r="G1493" i="8"/>
  <c r="G1492" i="8"/>
  <c r="G1491" i="8"/>
  <c r="G1490" i="8"/>
  <c r="G1489" i="8"/>
  <c r="G1488" i="8"/>
  <c r="G1487" i="8"/>
  <c r="G1486" i="8"/>
  <c r="G1485" i="8"/>
  <c r="G1484" i="8"/>
  <c r="G1483" i="8"/>
  <c r="G1482" i="8"/>
  <c r="G1481" i="8"/>
  <c r="G1480" i="8"/>
  <c r="G1479" i="8"/>
  <c r="G1478" i="8"/>
  <c r="G1477" i="8"/>
  <c r="G1476" i="8"/>
  <c r="G1475" i="8"/>
  <c r="G1474" i="8"/>
  <c r="G1473" i="8"/>
  <c r="G1472" i="8"/>
  <c r="G1471" i="8"/>
  <c r="G1470" i="8"/>
  <c r="G1469" i="8"/>
  <c r="G1468" i="8"/>
  <c r="G1467" i="8"/>
  <c r="G1466" i="8"/>
  <c r="G1465" i="8"/>
  <c r="G1464" i="8"/>
  <c r="G1463" i="8"/>
  <c r="G1462" i="8"/>
  <c r="G1461" i="8"/>
  <c r="G1460" i="8"/>
  <c r="G1459" i="8"/>
  <c r="G1458" i="8"/>
  <c r="G1457" i="8"/>
  <c r="G1456" i="8"/>
  <c r="G1455" i="8"/>
  <c r="G1454" i="8"/>
  <c r="G1453" i="8"/>
  <c r="G1452" i="8"/>
  <c r="G1451" i="8"/>
  <c r="G1450" i="8"/>
  <c r="G1449" i="8"/>
  <c r="G1448" i="8"/>
  <c r="G1447" i="8"/>
  <c r="G1446" i="8"/>
  <c r="G1445" i="8"/>
  <c r="G1444" i="8"/>
  <c r="G1443" i="8"/>
  <c r="G1442" i="8"/>
  <c r="G1441" i="8"/>
  <c r="G1440" i="8"/>
  <c r="G1439" i="8"/>
  <c r="G1438" i="8"/>
  <c r="G1437" i="8"/>
  <c r="G1436" i="8"/>
  <c r="G1435" i="8"/>
  <c r="G1434" i="8"/>
  <c r="G1433" i="8"/>
  <c r="G1432" i="8"/>
  <c r="G1431" i="8"/>
  <c r="G1430" i="8"/>
  <c r="G1429" i="8"/>
  <c r="G1428" i="8"/>
  <c r="G1427" i="8"/>
  <c r="G1426" i="8"/>
  <c r="G1425" i="8"/>
  <c r="G1424" i="8"/>
  <c r="G1423" i="8"/>
  <c r="G1422" i="8"/>
  <c r="G1421" i="8"/>
  <c r="G1420" i="8"/>
  <c r="G1419" i="8"/>
  <c r="G1418" i="8"/>
  <c r="G1417" i="8"/>
  <c r="G1416" i="8"/>
  <c r="G1415" i="8"/>
  <c r="G1414" i="8"/>
  <c r="G1413" i="8"/>
  <c r="G1412" i="8"/>
  <c r="G1411" i="8"/>
  <c r="G1410" i="8"/>
  <c r="G1409" i="8"/>
  <c r="G1408" i="8"/>
  <c r="G1407" i="8"/>
  <c r="G1406" i="8"/>
  <c r="G1405" i="8"/>
  <c r="G1404" i="8"/>
  <c r="G1403" i="8"/>
  <c r="G1402" i="8"/>
  <c r="G1401" i="8"/>
  <c r="G1400" i="8"/>
  <c r="G1399" i="8"/>
  <c r="G1398" i="8"/>
  <c r="G1397" i="8"/>
  <c r="G1396" i="8"/>
  <c r="G1395" i="8"/>
  <c r="G1394" i="8"/>
  <c r="G1393" i="8"/>
  <c r="G1392" i="8"/>
  <c r="G1391" i="8"/>
  <c r="G1390" i="8"/>
  <c r="G1389" i="8"/>
  <c r="G1388" i="8"/>
  <c r="G1387" i="8"/>
  <c r="G1386" i="8"/>
  <c r="G1385" i="8"/>
  <c r="G1384" i="8"/>
  <c r="G1383" i="8"/>
  <c r="G1382" i="8"/>
  <c r="G1381" i="8"/>
  <c r="G1380" i="8"/>
  <c r="G1379" i="8"/>
  <c r="G1378" i="8"/>
  <c r="G1377" i="8"/>
  <c r="G1376" i="8"/>
  <c r="G1375" i="8"/>
  <c r="G1374" i="8"/>
  <c r="G1373" i="8"/>
  <c r="G1372" i="8"/>
  <c r="G1371" i="8"/>
  <c r="G1370" i="8"/>
  <c r="G1369" i="8"/>
  <c r="G1368" i="8"/>
  <c r="G1367" i="8"/>
  <c r="G1366" i="8"/>
  <c r="G1365" i="8"/>
  <c r="G1364" i="8"/>
  <c r="G1363" i="8"/>
  <c r="G1362" i="8"/>
  <c r="G1361" i="8"/>
  <c r="G1360" i="8"/>
  <c r="G1359" i="8"/>
  <c r="G1358" i="8"/>
  <c r="G1357" i="8"/>
  <c r="G1356" i="8"/>
  <c r="G1355" i="8"/>
  <c r="G1354" i="8"/>
  <c r="G1353" i="8"/>
  <c r="G1352" i="8"/>
  <c r="G1351" i="8"/>
  <c r="G1350" i="8"/>
  <c r="G1349" i="8"/>
  <c r="G1348" i="8"/>
  <c r="G1347" i="8"/>
  <c r="G1346" i="8"/>
  <c r="G1345" i="8"/>
  <c r="G1344" i="8"/>
  <c r="G1343" i="8"/>
  <c r="G1342" i="8"/>
  <c r="G1341" i="8"/>
  <c r="G1340" i="8"/>
  <c r="G1339" i="8"/>
  <c r="G1338" i="8"/>
  <c r="G1337" i="8"/>
  <c r="G1336" i="8"/>
  <c r="G1335" i="8"/>
  <c r="G1334" i="8"/>
  <c r="G1333" i="8"/>
  <c r="G1332" i="8"/>
  <c r="G1331" i="8"/>
  <c r="G1330" i="8"/>
  <c r="G1329" i="8"/>
  <c r="G1328" i="8"/>
  <c r="G1327" i="8"/>
  <c r="G1326" i="8"/>
  <c r="G1325" i="8"/>
  <c r="G1324" i="8"/>
  <c r="G1323" i="8"/>
  <c r="G1322" i="8"/>
  <c r="G1321" i="8"/>
  <c r="G1320" i="8"/>
  <c r="G1319" i="8"/>
  <c r="G1318" i="8"/>
  <c r="G1317" i="8"/>
  <c r="G1316" i="8"/>
  <c r="G1315" i="8"/>
  <c r="G1314" i="8"/>
  <c r="G1313" i="8"/>
  <c r="G1312" i="8"/>
  <c r="G1311" i="8"/>
  <c r="G1310" i="8"/>
  <c r="G1309" i="8"/>
  <c r="G1308" i="8"/>
  <c r="G1307" i="8"/>
  <c r="G1306" i="8"/>
  <c r="G1305" i="8"/>
  <c r="G1304" i="8"/>
  <c r="G1303" i="8"/>
  <c r="G1302" i="8"/>
  <c r="G1301" i="8"/>
  <c r="G1300" i="8"/>
  <c r="G1299" i="8"/>
  <c r="G1298" i="8"/>
  <c r="G1297" i="8"/>
  <c r="G1296" i="8"/>
  <c r="G1295" i="8"/>
  <c r="G1294" i="8"/>
  <c r="G1293" i="8"/>
  <c r="G1292" i="8"/>
  <c r="G1291" i="8"/>
  <c r="G1290" i="8"/>
  <c r="G1289" i="8"/>
  <c r="G1288" i="8"/>
  <c r="G1287" i="8"/>
  <c r="G1286" i="8"/>
  <c r="G1285" i="8"/>
  <c r="G1284" i="8"/>
  <c r="G1283" i="8"/>
  <c r="G1282" i="8"/>
  <c r="G1281" i="8"/>
  <c r="G1280" i="8"/>
  <c r="G1279" i="8"/>
  <c r="G1278" i="8"/>
  <c r="G1277" i="8"/>
  <c r="G1276" i="8"/>
  <c r="G1275" i="8"/>
  <c r="G1274" i="8"/>
  <c r="G1273" i="8"/>
  <c r="G1272" i="8"/>
  <c r="G1271" i="8"/>
  <c r="G1270" i="8"/>
  <c r="G1269" i="8"/>
  <c r="G1268" i="8"/>
  <c r="G1267" i="8"/>
  <c r="G1266" i="8"/>
  <c r="G1265" i="8"/>
  <c r="G1264" i="8"/>
  <c r="G1263" i="8"/>
  <c r="G1262" i="8"/>
  <c r="G1261" i="8"/>
  <c r="G1260" i="8"/>
  <c r="G1259" i="8"/>
  <c r="G1258" i="8"/>
  <c r="G1257" i="8"/>
  <c r="G1256" i="8"/>
  <c r="G1255" i="8"/>
  <c r="G1254" i="8"/>
  <c r="G1253" i="8"/>
  <c r="G1252" i="8"/>
  <c r="G1251" i="8"/>
  <c r="G1250" i="8"/>
  <c r="G1249" i="8"/>
  <c r="G1248" i="8"/>
  <c r="G1247" i="8"/>
  <c r="G1246" i="8"/>
  <c r="G1245" i="8"/>
  <c r="G1244" i="8"/>
  <c r="G1243" i="8"/>
  <c r="G1242" i="8"/>
  <c r="G1241" i="8"/>
  <c r="G1240" i="8"/>
  <c r="G1239" i="8"/>
  <c r="G1238" i="8"/>
  <c r="G1237" i="8"/>
  <c r="G1236" i="8"/>
  <c r="G1235" i="8"/>
  <c r="G1234" i="8"/>
  <c r="G1233" i="8"/>
  <c r="G1232" i="8"/>
  <c r="G1231" i="8"/>
  <c r="G1230" i="8"/>
  <c r="G1229" i="8"/>
  <c r="G1228" i="8"/>
  <c r="G1227" i="8"/>
  <c r="G1226" i="8"/>
  <c r="G1225" i="8"/>
  <c r="G1224" i="8"/>
  <c r="G1223" i="8"/>
  <c r="G1222" i="8"/>
  <c r="G1221" i="8"/>
  <c r="G1220" i="8"/>
  <c r="G1219" i="8"/>
  <c r="G1218" i="8"/>
  <c r="G1217" i="8"/>
  <c r="G1216" i="8"/>
  <c r="G1215" i="8"/>
  <c r="G1214" i="8"/>
  <c r="G1213" i="8"/>
  <c r="G1212" i="8"/>
  <c r="G1211" i="8"/>
  <c r="G1210" i="8"/>
  <c r="G1209" i="8"/>
  <c r="G1208" i="8"/>
  <c r="G1207" i="8"/>
  <c r="G1206" i="8"/>
  <c r="G1205" i="8"/>
  <c r="G1204" i="8"/>
  <c r="G1203" i="8"/>
  <c r="G1202" i="8"/>
  <c r="G1201" i="8"/>
  <c r="G1200" i="8"/>
  <c r="G1199" i="8"/>
  <c r="G1198" i="8"/>
  <c r="G1197" i="8"/>
  <c r="G1196" i="8"/>
  <c r="G1195" i="8"/>
  <c r="G1194" i="8"/>
  <c r="G1193" i="8"/>
  <c r="G1192" i="8"/>
  <c r="G1191" i="8"/>
  <c r="G1190" i="8"/>
  <c r="G1189" i="8"/>
  <c r="G1188" i="8"/>
  <c r="G1187" i="8"/>
  <c r="G1186" i="8"/>
  <c r="G1185" i="8"/>
  <c r="G1184" i="8"/>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3" i="8"/>
  <c r="G2" i="8"/>
  <c r="I8" i="3" l="1" a="1"/>
  <c r="I8" i="3" s="1"/>
  <c r="I27" i="3" l="1" a="1"/>
  <c r="I27" i="3" s="1"/>
  <c r="K1909" i="1" l="1"/>
  <c r="K1873" i="1"/>
  <c r="K1837" i="1"/>
  <c r="K1801" i="1"/>
  <c r="K1765" i="1"/>
  <c r="K1729" i="1"/>
  <c r="K1693" i="1"/>
  <c r="K1657" i="1"/>
  <c r="K1621" i="1"/>
  <c r="K1585" i="1"/>
  <c r="K1549" i="1"/>
  <c r="K1513" i="1"/>
  <c r="K1477" i="1"/>
  <c r="K1441" i="1"/>
  <c r="K1405" i="1"/>
  <c r="K1369" i="1"/>
  <c r="K1333" i="1"/>
  <c r="K1297" i="1"/>
  <c r="K1261" i="1"/>
  <c r="K1225" i="1"/>
  <c r="K1189" i="1"/>
  <c r="K1153" i="1"/>
  <c r="K1117" i="1"/>
  <c r="K1081" i="1"/>
  <c r="K1045" i="1"/>
  <c r="K1009" i="1"/>
  <c r="K973" i="1"/>
  <c r="K937" i="1"/>
  <c r="K901" i="1"/>
  <c r="K865" i="1"/>
  <c r="K829" i="1"/>
  <c r="K793" i="1"/>
  <c r="K757" i="1"/>
  <c r="K721" i="1"/>
  <c r="K685" i="1"/>
  <c r="K649" i="1"/>
  <c r="K613" i="1"/>
  <c r="K577" i="1"/>
  <c r="K541" i="1"/>
  <c r="K505" i="1"/>
  <c r="K469" i="1"/>
  <c r="K433" i="1"/>
  <c r="K397" i="1"/>
  <c r="K361" i="1"/>
  <c r="K325" i="1"/>
  <c r="K289" i="1"/>
  <c r="K253" i="1"/>
  <c r="K217" i="1"/>
  <c r="K181" i="1"/>
  <c r="K145" i="1"/>
  <c r="K109" i="1"/>
  <c r="K73" i="1"/>
  <c r="K37" i="1"/>
  <c r="H1909" i="1"/>
  <c r="G1909" i="1"/>
  <c r="H1873" i="1"/>
  <c r="G1873" i="1"/>
  <c r="H1837" i="1"/>
  <c r="G1837" i="1"/>
  <c r="H1801" i="1"/>
  <c r="G1801" i="1"/>
  <c r="H1765" i="1"/>
  <c r="G1765" i="1"/>
  <c r="H1729" i="1"/>
  <c r="G1729" i="1"/>
  <c r="H1693" i="1"/>
  <c r="G1693" i="1"/>
  <c r="H1657" i="1"/>
  <c r="G1657" i="1"/>
  <c r="H1621" i="1"/>
  <c r="G1621" i="1"/>
  <c r="H1585" i="1"/>
  <c r="G1585" i="1"/>
  <c r="H1549" i="1"/>
  <c r="G1549" i="1"/>
  <c r="H1513" i="1"/>
  <c r="G1513" i="1"/>
  <c r="H1477" i="1"/>
  <c r="G1477" i="1"/>
  <c r="H1441" i="1"/>
  <c r="G1441" i="1"/>
  <c r="H1405" i="1"/>
  <c r="G1405" i="1"/>
  <c r="H1369" i="1"/>
  <c r="G1369" i="1"/>
  <c r="H1333" i="1"/>
  <c r="G1333" i="1"/>
  <c r="H1297" i="1"/>
  <c r="G1297" i="1"/>
  <c r="H1261" i="1"/>
  <c r="G1261" i="1"/>
  <c r="H1225" i="1"/>
  <c r="G1225" i="1"/>
  <c r="H1189" i="1"/>
  <c r="G1189" i="1"/>
  <c r="H1153" i="1"/>
  <c r="G1153" i="1"/>
  <c r="H1117" i="1"/>
  <c r="G1117" i="1"/>
  <c r="H1081" i="1"/>
  <c r="G1081" i="1"/>
  <c r="H1045" i="1"/>
  <c r="G1045" i="1"/>
  <c r="H1009" i="1"/>
  <c r="G1009" i="1"/>
  <c r="H973" i="1"/>
  <c r="G973" i="1"/>
  <c r="H937" i="1"/>
  <c r="G937" i="1"/>
  <c r="H901" i="1"/>
  <c r="G901" i="1"/>
  <c r="H865" i="1"/>
  <c r="G865" i="1"/>
  <c r="H829" i="1"/>
  <c r="G829" i="1"/>
  <c r="H793" i="1"/>
  <c r="G793" i="1"/>
  <c r="H757" i="1"/>
  <c r="G757" i="1"/>
  <c r="H721" i="1"/>
  <c r="G721" i="1"/>
  <c r="H685" i="1"/>
  <c r="G685" i="1"/>
  <c r="H649" i="1"/>
  <c r="G649" i="1"/>
  <c r="H613" i="1"/>
  <c r="G613" i="1"/>
  <c r="H577" i="1"/>
  <c r="G577" i="1"/>
  <c r="H541" i="1"/>
  <c r="G541" i="1"/>
  <c r="H505" i="1"/>
  <c r="G505" i="1"/>
  <c r="H469" i="1"/>
  <c r="G469" i="1"/>
  <c r="H433" i="1"/>
  <c r="G433" i="1"/>
  <c r="H397" i="1"/>
  <c r="G397" i="1"/>
  <c r="H361" i="1"/>
  <c r="G361" i="1"/>
  <c r="H325" i="1"/>
  <c r="G325" i="1"/>
  <c r="H289" i="1"/>
  <c r="G289" i="1"/>
  <c r="H253" i="1"/>
  <c r="G253" i="1"/>
  <c r="H217" i="1"/>
  <c r="G217" i="1"/>
  <c r="H181" i="1"/>
  <c r="G181" i="1"/>
  <c r="H145" i="1"/>
  <c r="G145" i="1"/>
  <c r="H109" i="1"/>
  <c r="G109" i="1"/>
  <c r="H73" i="1"/>
  <c r="G73" i="1"/>
  <c r="H37" i="1"/>
  <c r="G37" i="1"/>
  <c r="H59" i="11" l="1"/>
  <c r="G19" i="12" l="1"/>
  <c r="G28" i="12" s="1"/>
  <c r="I18" i="12"/>
  <c r="D19" i="12" l="1"/>
  <c r="G20" i="12"/>
  <c r="G21" i="12"/>
  <c r="G22" i="12"/>
  <c r="G23" i="12"/>
  <c r="G24" i="12"/>
  <c r="G25" i="12"/>
  <c r="G26" i="12"/>
  <c r="G27" i="12"/>
  <c r="I23" i="3"/>
  <c r="I24" i="3"/>
  <c r="E16" i="7" l="1"/>
  <c r="F67" i="11" l="1"/>
  <c r="E67" i="11"/>
  <c r="D67" i="11"/>
  <c r="O64" i="11"/>
  <c r="E60" i="11"/>
  <c r="F60" i="11" s="1"/>
  <c r="G59" i="11"/>
  <c r="F59" i="11"/>
  <c r="E59" i="11"/>
  <c r="D59" i="11"/>
  <c r="H58" i="11"/>
  <c r="G58" i="11"/>
  <c r="F58" i="11"/>
  <c r="E58" i="11"/>
  <c r="D58" i="11"/>
  <c r="G54" i="11"/>
  <c r="K53" i="11"/>
  <c r="R43" i="11"/>
  <c r="Q43" i="11"/>
  <c r="H36" i="11"/>
  <c r="O35" i="11"/>
  <c r="O36" i="11" s="1"/>
  <c r="N35" i="11"/>
  <c r="M35" i="11"/>
  <c r="L35" i="11"/>
  <c r="K35" i="11"/>
  <c r="J35" i="11"/>
  <c r="I35" i="11"/>
  <c r="G35" i="11"/>
  <c r="F35" i="11"/>
  <c r="E35" i="11"/>
  <c r="D35" i="11"/>
  <c r="N32" i="11"/>
  <c r="N33" i="11" s="1"/>
  <c r="M32" i="11"/>
  <c r="L32" i="11"/>
  <c r="K32" i="11"/>
  <c r="J32" i="11"/>
  <c r="I32" i="11"/>
  <c r="H32" i="11"/>
  <c r="H33" i="11" s="1"/>
  <c r="G32" i="11"/>
  <c r="G33" i="11" s="1"/>
  <c r="F32" i="11"/>
  <c r="E32" i="11"/>
  <c r="D32" i="11"/>
  <c r="D30" i="11"/>
  <c r="G22" i="11"/>
  <c r="F18" i="11"/>
  <c r="G36" i="11" l="1"/>
  <c r="F33" i="11"/>
  <c r="D33" i="11"/>
  <c r="E33" i="11"/>
  <c r="I33" i="11"/>
  <c r="J33" i="11"/>
  <c r="K33" i="11"/>
  <c r="L33" i="11"/>
  <c r="M33" i="11"/>
  <c r="D36" i="11"/>
  <c r="E36" i="11"/>
  <c r="F36" i="11"/>
  <c r="I36" i="11"/>
  <c r="J36" i="11"/>
  <c r="K36" i="11"/>
  <c r="L36" i="11"/>
  <c r="M36" i="11"/>
  <c r="N36" i="11"/>
  <c r="G60" i="11"/>
  <c r="I2" i="9" a="1"/>
  <c r="I2" i="9" s="1"/>
  <c r="I5" i="9"/>
  <c r="L14" i="9" s="1"/>
  <c r="I6" i="9"/>
  <c r="J12" i="7"/>
  <c r="J15" i="7" s="1"/>
  <c r="L16" i="9" l="1"/>
  <c r="M15" i="9" a="1"/>
  <c r="M15" i="9" s="1"/>
  <c r="M10" i="9" a="1"/>
  <c r="M10" i="9" s="1"/>
  <c r="M13" i="9" a="1"/>
  <c r="M13" i="9" s="1"/>
  <c r="M12" i="9" a="1"/>
  <c r="M12" i="9" s="1"/>
  <c r="M11" i="9" a="1"/>
  <c r="M11" i="9" s="1"/>
  <c r="L15" i="9"/>
  <c r="L12" i="9"/>
  <c r="L11" i="9"/>
  <c r="L9" i="9"/>
  <c r="G67" i="11"/>
  <c r="H60" i="11"/>
  <c r="N61" i="11"/>
  <c r="M61" i="11"/>
  <c r="L61" i="11"/>
  <c r="K61" i="11"/>
  <c r="J61" i="11"/>
  <c r="I61" i="11"/>
  <c r="H61" i="11"/>
  <c r="G61" i="11"/>
  <c r="F61" i="11"/>
  <c r="E61" i="11"/>
  <c r="D61" i="11"/>
  <c r="L10" i="9"/>
  <c r="J4" i="9"/>
  <c r="J19" i="7"/>
  <c r="L13" i="9"/>
  <c r="I10" i="9" a="1"/>
  <c r="Z32" i="5"/>
  <c r="K29" i="5"/>
  <c r="S16" i="5" s="1"/>
  <c r="C16" i="5"/>
  <c r="I10" i="9" l="1"/>
  <c r="I11" i="9" a="1"/>
  <c r="I11" i="9" s="1"/>
  <c r="I12" i="9"/>
  <c r="I13" i="9" s="1"/>
  <c r="M16" i="9"/>
  <c r="T32" i="5"/>
  <c r="K35" i="5" s="1"/>
  <c r="AD32" i="5"/>
  <c r="S21" i="5"/>
  <c r="N14" i="9"/>
  <c r="E62" i="11"/>
  <c r="F62" i="11"/>
  <c r="G62" i="11"/>
  <c r="H62" i="11"/>
  <c r="I62" i="11"/>
  <c r="J62" i="11"/>
  <c r="K62" i="11"/>
  <c r="L62" i="11"/>
  <c r="M62" i="11"/>
  <c r="N62" i="11"/>
  <c r="O62" i="11"/>
  <c r="H67" i="11"/>
  <c r="I60" i="11"/>
  <c r="M17" i="9"/>
  <c r="N16" i="9"/>
  <c r="M9" i="9"/>
  <c r="N9" i="9" s="1"/>
  <c r="M14" i="9"/>
  <c r="S29" i="5"/>
  <c r="S27" i="5"/>
  <c r="S23" i="5"/>
  <c r="S19" i="5"/>
  <c r="S15" i="5"/>
  <c r="S26" i="5"/>
  <c r="S22" i="5"/>
  <c r="S24" i="5"/>
  <c r="S30" i="5"/>
  <c r="S18" i="5"/>
  <c r="S25" i="5"/>
  <c r="S14" i="5"/>
  <c r="S17" i="5"/>
  <c r="S20" i="5"/>
  <c r="S28" i="5"/>
  <c r="U32" i="5" l="1"/>
  <c r="V32" i="5" s="1"/>
  <c r="I14" i="9"/>
  <c r="I15" i="9" s="1"/>
  <c r="M19" i="9" s="1"/>
  <c r="I67" i="11"/>
  <c r="J60" i="11"/>
  <c r="L35" i="5"/>
  <c r="M35" i="5" s="1"/>
  <c r="L34" i="5"/>
  <c r="S35" i="5"/>
  <c r="K31" i="5" l="1"/>
  <c r="J67" i="11"/>
  <c r="K60" i="11"/>
  <c r="K67" i="11" l="1"/>
  <c r="L60" i="11"/>
  <c r="L67" i="11" l="1"/>
  <c r="M60" i="11"/>
  <c r="M67" i="11" l="1"/>
  <c r="N60" i="11"/>
  <c r="N67" i="11" l="1"/>
  <c r="O60" i="11"/>
  <c r="E19" i="12" l="1"/>
  <c r="O70" i="11"/>
  <c r="O67" i="11"/>
  <c r="I17" i="3" l="1"/>
  <c r="I16" i="3"/>
  <c r="D10" i="11"/>
  <c r="G53" i="11"/>
  <c r="I28" i="3"/>
  <c r="K54" i="11" s="1"/>
  <c r="H18" i="12" s="1"/>
  <c r="C19" i="12" s="1"/>
  <c r="G1908" i="1"/>
  <c r="G1907" i="1"/>
  <c r="G1906" i="1"/>
  <c r="G1905" i="1"/>
  <c r="G1904" i="1"/>
  <c r="G1903" i="1"/>
  <c r="G1902" i="1"/>
  <c r="G1901" i="1"/>
  <c r="G1900" i="1"/>
  <c r="G1899" i="1"/>
  <c r="G1898" i="1"/>
  <c r="G1897" i="1"/>
  <c r="G1896" i="1"/>
  <c r="G1895" i="1"/>
  <c r="G1894" i="1"/>
  <c r="G1893" i="1"/>
  <c r="G1892" i="1"/>
  <c r="G1891" i="1"/>
  <c r="G1890" i="1"/>
  <c r="G1889" i="1"/>
  <c r="G1888" i="1"/>
  <c r="G1887" i="1"/>
  <c r="G1886" i="1"/>
  <c r="G1885" i="1"/>
  <c r="G1884" i="1"/>
  <c r="G1883" i="1"/>
  <c r="G1882" i="1"/>
  <c r="G1881" i="1"/>
  <c r="G1880" i="1"/>
  <c r="G1879" i="1"/>
  <c r="G1878" i="1"/>
  <c r="G1877" i="1"/>
  <c r="G1876" i="1"/>
  <c r="G1875" i="1"/>
  <c r="G1874" i="1"/>
  <c r="G1872" i="1"/>
  <c r="G1871" i="1"/>
  <c r="G1870" i="1"/>
  <c r="G1869" i="1"/>
  <c r="G1868" i="1"/>
  <c r="G1867" i="1"/>
  <c r="G1866" i="1"/>
  <c r="G1865" i="1"/>
  <c r="G1864" i="1"/>
  <c r="G1863" i="1"/>
  <c r="G1862" i="1"/>
  <c r="G1861" i="1"/>
  <c r="G1860" i="1"/>
  <c r="G1859" i="1"/>
  <c r="G1858" i="1"/>
  <c r="G1857" i="1"/>
  <c r="G1856" i="1"/>
  <c r="G1855" i="1"/>
  <c r="G1854" i="1"/>
  <c r="G1853" i="1"/>
  <c r="G1852" i="1"/>
  <c r="G1851" i="1"/>
  <c r="G1850" i="1"/>
  <c r="G1849" i="1"/>
  <c r="G1848" i="1"/>
  <c r="G1847" i="1"/>
  <c r="G1846" i="1"/>
  <c r="G1845" i="1"/>
  <c r="G1844" i="1"/>
  <c r="G1843" i="1"/>
  <c r="G1842" i="1"/>
  <c r="G1841" i="1"/>
  <c r="G1840" i="1"/>
  <c r="G1839" i="1"/>
  <c r="G1838" i="1"/>
  <c r="G1836" i="1"/>
  <c r="G1835" i="1"/>
  <c r="G1834" i="1"/>
  <c r="G1833" i="1"/>
  <c r="G1832" i="1"/>
  <c r="G1831" i="1"/>
  <c r="G1830" i="1"/>
  <c r="G1829" i="1"/>
  <c r="G1828" i="1"/>
  <c r="G1827" i="1"/>
  <c r="G1826" i="1"/>
  <c r="G1825" i="1"/>
  <c r="G1824" i="1"/>
  <c r="G1823" i="1"/>
  <c r="G1822" i="1"/>
  <c r="G1821" i="1"/>
  <c r="G1820" i="1"/>
  <c r="G1819" i="1"/>
  <c r="G1818" i="1"/>
  <c r="G1817" i="1"/>
  <c r="G1816" i="1"/>
  <c r="G1815" i="1"/>
  <c r="G1814" i="1"/>
  <c r="G1813" i="1"/>
  <c r="G1812" i="1"/>
  <c r="G1811" i="1"/>
  <c r="G1810" i="1"/>
  <c r="G1809" i="1"/>
  <c r="G1808" i="1"/>
  <c r="G1807" i="1"/>
  <c r="G1806" i="1"/>
  <c r="G1805" i="1"/>
  <c r="G1804" i="1"/>
  <c r="G1803" i="1"/>
  <c r="G1802" i="1"/>
  <c r="G1800" i="1"/>
  <c r="G1799" i="1"/>
  <c r="G1798" i="1"/>
  <c r="G1797" i="1"/>
  <c r="G1796" i="1"/>
  <c r="G1795" i="1"/>
  <c r="G1794" i="1"/>
  <c r="G1793" i="1"/>
  <c r="G1792" i="1"/>
  <c r="G1791" i="1"/>
  <c r="G1790" i="1"/>
  <c r="G1789" i="1"/>
  <c r="G1788" i="1"/>
  <c r="G1787" i="1"/>
  <c r="G1786" i="1"/>
  <c r="G1785" i="1"/>
  <c r="G1784" i="1"/>
  <c r="G1783" i="1"/>
  <c r="G1782" i="1"/>
  <c r="G1781" i="1"/>
  <c r="G1780" i="1"/>
  <c r="G1779" i="1"/>
  <c r="G1778" i="1"/>
  <c r="G1777" i="1"/>
  <c r="G1776" i="1"/>
  <c r="G1775" i="1"/>
  <c r="G1774" i="1"/>
  <c r="G1773" i="1"/>
  <c r="G1772" i="1"/>
  <c r="G1771" i="1"/>
  <c r="G1770" i="1"/>
  <c r="G1769" i="1"/>
  <c r="G1768" i="1"/>
  <c r="G1767" i="1"/>
  <c r="G1766" i="1"/>
  <c r="G1764" i="1"/>
  <c r="G1763" i="1"/>
  <c r="G1762" i="1"/>
  <c r="G1761" i="1"/>
  <c r="G1760" i="1"/>
  <c r="G1759" i="1"/>
  <c r="G1758" i="1"/>
  <c r="G1757" i="1"/>
  <c r="G1756" i="1"/>
  <c r="G1755" i="1"/>
  <c r="G1754" i="1"/>
  <c r="G1753" i="1"/>
  <c r="G1752" i="1"/>
  <c r="G1751" i="1"/>
  <c r="G1750" i="1"/>
  <c r="G1749" i="1"/>
  <c r="G1748" i="1"/>
  <c r="G1747" i="1"/>
  <c r="G1746" i="1"/>
  <c r="G1745" i="1"/>
  <c r="G1744" i="1"/>
  <c r="G1743" i="1"/>
  <c r="G1742" i="1"/>
  <c r="G1741" i="1"/>
  <c r="G1740" i="1"/>
  <c r="G1739" i="1"/>
  <c r="G1738" i="1"/>
  <c r="G1737" i="1"/>
  <c r="G1736" i="1"/>
  <c r="G1735" i="1"/>
  <c r="G1734" i="1"/>
  <c r="G1733" i="1"/>
  <c r="G1732" i="1"/>
  <c r="G1731" i="1"/>
  <c r="G1730" i="1"/>
  <c r="G1728" i="1"/>
  <c r="G1727" i="1"/>
  <c r="G1726" i="1"/>
  <c r="G1725" i="1"/>
  <c r="G1724" i="1"/>
  <c r="G1723" i="1"/>
  <c r="G1722" i="1"/>
  <c r="G1721" i="1"/>
  <c r="G1720" i="1"/>
  <c r="G1719" i="1"/>
  <c r="G1718" i="1"/>
  <c r="G1717" i="1"/>
  <c r="G1716" i="1"/>
  <c r="G1715" i="1"/>
  <c r="G1714" i="1"/>
  <c r="G1713" i="1"/>
  <c r="G1712" i="1"/>
  <c r="G1711" i="1"/>
  <c r="G1710" i="1"/>
  <c r="G1709" i="1"/>
  <c r="G1708" i="1"/>
  <c r="G1707" i="1"/>
  <c r="G1706" i="1"/>
  <c r="G1705" i="1"/>
  <c r="G1704" i="1"/>
  <c r="G1703" i="1"/>
  <c r="G1702" i="1"/>
  <c r="G1701" i="1"/>
  <c r="G1700" i="1"/>
  <c r="G1699" i="1"/>
  <c r="G1698" i="1"/>
  <c r="G1697" i="1"/>
  <c r="G1696" i="1"/>
  <c r="G1695" i="1"/>
  <c r="G1694" i="1"/>
  <c r="G1692" i="1"/>
  <c r="G1691" i="1"/>
  <c r="G1690" i="1"/>
  <c r="G1689" i="1"/>
  <c r="G1688" i="1"/>
  <c r="G1687" i="1"/>
  <c r="G1686" i="1"/>
  <c r="G1685" i="1"/>
  <c r="G1684" i="1"/>
  <c r="G1683" i="1"/>
  <c r="G1682" i="1"/>
  <c r="G1681" i="1"/>
  <c r="G1680" i="1"/>
  <c r="G1679" i="1"/>
  <c r="G1678" i="1"/>
  <c r="G1677" i="1"/>
  <c r="G1676" i="1"/>
  <c r="G1675" i="1"/>
  <c r="G1674" i="1"/>
  <c r="G1673" i="1"/>
  <c r="G1672" i="1"/>
  <c r="G1671" i="1"/>
  <c r="G1670" i="1"/>
  <c r="G1669" i="1"/>
  <c r="G1668" i="1"/>
  <c r="G1667" i="1"/>
  <c r="G1666" i="1"/>
  <c r="G1665" i="1"/>
  <c r="G1664" i="1"/>
  <c r="G1663" i="1"/>
  <c r="G1662" i="1"/>
  <c r="G1661" i="1"/>
  <c r="G1660" i="1"/>
  <c r="G1659" i="1"/>
  <c r="G1658" i="1"/>
  <c r="G1656" i="1"/>
  <c r="G1655" i="1"/>
  <c r="G1654" i="1"/>
  <c r="G1653" i="1"/>
  <c r="G1652" i="1"/>
  <c r="G1651" i="1"/>
  <c r="G1650" i="1"/>
  <c r="G1649" i="1"/>
  <c r="G1648" i="1"/>
  <c r="G1647" i="1"/>
  <c r="G1646" i="1"/>
  <c r="G1645" i="1"/>
  <c r="G1644" i="1"/>
  <c r="G1643" i="1"/>
  <c r="G1642" i="1"/>
  <c r="G1641" i="1"/>
  <c r="G1640" i="1"/>
  <c r="G1639" i="1"/>
  <c r="G1638" i="1"/>
  <c r="G1637" i="1"/>
  <c r="G1636" i="1"/>
  <c r="G1635" i="1"/>
  <c r="G1634" i="1"/>
  <c r="G1633" i="1"/>
  <c r="G1632" i="1"/>
  <c r="G1631" i="1"/>
  <c r="G1630" i="1"/>
  <c r="G1629" i="1"/>
  <c r="G1628" i="1"/>
  <c r="G1627" i="1"/>
  <c r="G1626" i="1"/>
  <c r="G1625" i="1"/>
  <c r="G1624" i="1"/>
  <c r="G1623" i="1"/>
  <c r="G1622" i="1"/>
  <c r="G1620" i="1"/>
  <c r="G1619" i="1"/>
  <c r="G1618" i="1"/>
  <c r="G1617" i="1"/>
  <c r="G1616" i="1"/>
  <c r="G1615" i="1"/>
  <c r="G1614" i="1"/>
  <c r="G1613" i="1"/>
  <c r="G1612" i="1"/>
  <c r="G1611" i="1"/>
  <c r="G1610" i="1"/>
  <c r="G1609" i="1"/>
  <c r="G1608" i="1"/>
  <c r="G1607" i="1"/>
  <c r="G1606" i="1"/>
  <c r="G1605" i="1"/>
  <c r="G1604" i="1"/>
  <c r="G1603" i="1"/>
  <c r="G1602" i="1"/>
  <c r="G1601" i="1"/>
  <c r="G1600" i="1"/>
  <c r="G1599" i="1"/>
  <c r="G1598" i="1"/>
  <c r="G1597" i="1"/>
  <c r="G1596" i="1"/>
  <c r="G1595" i="1"/>
  <c r="G1594" i="1"/>
  <c r="G1593" i="1"/>
  <c r="G1592" i="1"/>
  <c r="G1591" i="1"/>
  <c r="G1590" i="1"/>
  <c r="G1589" i="1"/>
  <c r="G1588" i="1"/>
  <c r="G1587" i="1"/>
  <c r="G1586" i="1"/>
  <c r="G1584" i="1"/>
  <c r="G1583" i="1"/>
  <c r="G1582" i="1"/>
  <c r="G1581" i="1"/>
  <c r="G1580" i="1"/>
  <c r="G1579" i="1"/>
  <c r="G1578" i="1"/>
  <c r="G1577" i="1"/>
  <c r="G1576" i="1"/>
  <c r="G1575" i="1"/>
  <c r="G1574" i="1"/>
  <c r="G1573" i="1"/>
  <c r="G1572" i="1"/>
  <c r="G1571" i="1"/>
  <c r="G1570" i="1"/>
  <c r="G1569" i="1"/>
  <c r="G1568" i="1"/>
  <c r="G1567" i="1"/>
  <c r="G1566" i="1"/>
  <c r="G1565" i="1"/>
  <c r="G1564" i="1"/>
  <c r="G1563" i="1"/>
  <c r="G1562" i="1"/>
  <c r="G1561" i="1"/>
  <c r="G1560" i="1"/>
  <c r="G1559" i="1"/>
  <c r="G1558" i="1"/>
  <c r="G1557" i="1"/>
  <c r="G1556" i="1"/>
  <c r="G1555" i="1"/>
  <c r="G1554" i="1"/>
  <c r="G1553" i="1"/>
  <c r="G1552" i="1"/>
  <c r="G1551" i="1"/>
  <c r="G1550" i="1"/>
  <c r="G1548" i="1"/>
  <c r="G1547" i="1"/>
  <c r="G1546" i="1"/>
  <c r="G1545" i="1"/>
  <c r="G1544" i="1"/>
  <c r="G1543" i="1"/>
  <c r="G1542" i="1"/>
  <c r="G1541" i="1"/>
  <c r="G1540" i="1"/>
  <c r="G1539" i="1"/>
  <c r="G1538" i="1"/>
  <c r="G1537" i="1"/>
  <c r="G1536" i="1"/>
  <c r="G1535" i="1"/>
  <c r="G1534" i="1"/>
  <c r="G1533" i="1"/>
  <c r="G1532" i="1"/>
  <c r="G1531" i="1"/>
  <c r="G1530" i="1"/>
  <c r="G1529" i="1"/>
  <c r="G1528" i="1"/>
  <c r="G1527" i="1"/>
  <c r="G1526" i="1"/>
  <c r="G1525" i="1"/>
  <c r="G1524" i="1"/>
  <c r="G1523" i="1"/>
  <c r="G1522" i="1"/>
  <c r="G1521" i="1"/>
  <c r="G1520" i="1"/>
  <c r="G1519" i="1"/>
  <c r="G1518" i="1"/>
  <c r="G1517" i="1"/>
  <c r="G1516" i="1"/>
  <c r="G1515" i="1"/>
  <c r="G1514" i="1"/>
  <c r="G1512" i="1"/>
  <c r="G1511" i="1"/>
  <c r="G1510" i="1"/>
  <c r="G1509" i="1"/>
  <c r="G1508" i="1"/>
  <c r="G1507" i="1"/>
  <c r="G1506" i="1"/>
  <c r="G1505" i="1"/>
  <c r="G1504" i="1"/>
  <c r="G1503" i="1"/>
  <c r="G1502" i="1"/>
  <c r="G1501" i="1"/>
  <c r="G1500" i="1"/>
  <c r="G1499" i="1"/>
  <c r="G1498" i="1"/>
  <c r="G1497" i="1"/>
  <c r="G1496" i="1"/>
  <c r="G1495" i="1"/>
  <c r="G1494" i="1"/>
  <c r="G1493" i="1"/>
  <c r="G1492" i="1"/>
  <c r="G1491" i="1"/>
  <c r="G1490" i="1"/>
  <c r="G1489" i="1"/>
  <c r="G1488" i="1"/>
  <c r="G1487" i="1"/>
  <c r="G1486" i="1"/>
  <c r="G1485" i="1"/>
  <c r="G1484" i="1"/>
  <c r="G1483" i="1"/>
  <c r="G1482" i="1"/>
  <c r="G1481" i="1"/>
  <c r="G1480" i="1"/>
  <c r="G1479" i="1"/>
  <c r="G1478" i="1"/>
  <c r="G1476" i="1"/>
  <c r="G1475" i="1"/>
  <c r="G1474" i="1"/>
  <c r="G1473" i="1"/>
  <c r="G1472" i="1"/>
  <c r="G1471" i="1"/>
  <c r="G1470" i="1"/>
  <c r="G1469" i="1"/>
  <c r="G1468" i="1"/>
  <c r="G1467" i="1"/>
  <c r="G1466" i="1"/>
  <c r="G1465" i="1"/>
  <c r="G1464" i="1"/>
  <c r="G1463" i="1"/>
  <c r="G1462" i="1"/>
  <c r="G1461" i="1"/>
  <c r="G1460" i="1"/>
  <c r="G1459" i="1"/>
  <c r="G1458" i="1"/>
  <c r="G1457" i="1"/>
  <c r="G1456" i="1"/>
  <c r="G1455" i="1"/>
  <c r="G1454" i="1"/>
  <c r="G1453" i="1"/>
  <c r="G1452" i="1"/>
  <c r="G1451" i="1"/>
  <c r="G1450" i="1"/>
  <c r="G1449" i="1"/>
  <c r="G1448" i="1"/>
  <c r="G1447" i="1"/>
  <c r="G1446" i="1"/>
  <c r="G1445" i="1"/>
  <c r="G1444" i="1"/>
  <c r="G1443" i="1"/>
  <c r="G1442" i="1"/>
  <c r="G1440" i="1"/>
  <c r="G1439" i="1"/>
  <c r="G1438" i="1"/>
  <c r="G1437" i="1"/>
  <c r="G1436" i="1"/>
  <c r="G1435" i="1"/>
  <c r="G1434" i="1"/>
  <c r="G1433" i="1"/>
  <c r="G1432" i="1"/>
  <c r="G1431" i="1"/>
  <c r="G1430" i="1"/>
  <c r="G1429" i="1"/>
  <c r="G1428" i="1"/>
  <c r="G1427" i="1"/>
  <c r="G1426" i="1"/>
  <c r="G1425" i="1"/>
  <c r="G1424" i="1"/>
  <c r="G1423" i="1"/>
  <c r="G1422" i="1"/>
  <c r="G1421" i="1"/>
  <c r="G1420" i="1"/>
  <c r="G1419" i="1"/>
  <c r="G1418" i="1"/>
  <c r="G1417" i="1"/>
  <c r="G1416" i="1"/>
  <c r="G1415" i="1"/>
  <c r="G1414" i="1"/>
  <c r="G1413" i="1"/>
  <c r="G1412" i="1"/>
  <c r="G1411" i="1"/>
  <c r="G1410" i="1"/>
  <c r="G1409" i="1"/>
  <c r="G1408" i="1"/>
  <c r="G1407" i="1"/>
  <c r="G1406" i="1"/>
  <c r="G1404" i="1"/>
  <c r="G1403" i="1"/>
  <c r="G1402" i="1"/>
  <c r="G1401" i="1"/>
  <c r="G1400" i="1"/>
  <c r="G1399" i="1"/>
  <c r="G1398" i="1"/>
  <c r="G1397" i="1"/>
  <c r="G1396" i="1"/>
  <c r="G1395" i="1"/>
  <c r="G1394" i="1"/>
  <c r="G1393" i="1"/>
  <c r="G1392" i="1"/>
  <c r="G1391" i="1"/>
  <c r="G1390" i="1"/>
  <c r="G1389" i="1"/>
  <c r="G1388" i="1"/>
  <c r="G1387" i="1"/>
  <c r="G1386" i="1"/>
  <c r="G1385" i="1"/>
  <c r="G1384" i="1"/>
  <c r="G1383" i="1"/>
  <c r="G1382" i="1"/>
  <c r="G1381" i="1"/>
  <c r="G1380" i="1"/>
  <c r="G1379" i="1"/>
  <c r="G1378" i="1"/>
  <c r="G1377" i="1"/>
  <c r="G1376" i="1"/>
  <c r="G1375" i="1"/>
  <c r="G1374" i="1"/>
  <c r="G1373" i="1"/>
  <c r="G1372" i="1"/>
  <c r="G1371" i="1"/>
  <c r="G1370" i="1"/>
  <c r="G1368" i="1"/>
  <c r="G1367" i="1"/>
  <c r="G1366" i="1"/>
  <c r="G1365" i="1"/>
  <c r="G1364" i="1"/>
  <c r="G1363" i="1"/>
  <c r="G1362" i="1"/>
  <c r="G1361" i="1"/>
  <c r="G1360" i="1"/>
  <c r="G1359" i="1"/>
  <c r="G1358" i="1"/>
  <c r="G1357" i="1"/>
  <c r="G1356" i="1"/>
  <c r="G1355" i="1"/>
  <c r="G1354" i="1"/>
  <c r="G1353" i="1"/>
  <c r="G1352" i="1"/>
  <c r="G1351" i="1"/>
  <c r="G1350" i="1"/>
  <c r="G1349" i="1"/>
  <c r="G1348" i="1"/>
  <c r="G1347" i="1"/>
  <c r="G1346" i="1"/>
  <c r="G1345" i="1"/>
  <c r="G1344" i="1"/>
  <c r="G1343" i="1"/>
  <c r="G1342" i="1"/>
  <c r="G1341" i="1"/>
  <c r="G1340" i="1"/>
  <c r="G1339" i="1"/>
  <c r="G1338" i="1"/>
  <c r="G1337" i="1"/>
  <c r="G1336" i="1"/>
  <c r="G1335" i="1"/>
  <c r="G1334" i="1"/>
  <c r="G1332" i="1"/>
  <c r="G1331" i="1"/>
  <c r="G1330" i="1"/>
  <c r="G1329" i="1"/>
  <c r="G1328" i="1"/>
  <c r="G1327" i="1"/>
  <c r="G1326" i="1"/>
  <c r="G1325" i="1"/>
  <c r="G1324" i="1"/>
  <c r="G1323" i="1"/>
  <c r="G1322" i="1"/>
  <c r="G1321" i="1"/>
  <c r="G1320" i="1"/>
  <c r="G1319" i="1"/>
  <c r="G1318" i="1"/>
  <c r="G1317" i="1"/>
  <c r="G1316" i="1"/>
  <c r="G1315" i="1"/>
  <c r="G1314" i="1"/>
  <c r="G1313" i="1"/>
  <c r="G1312" i="1"/>
  <c r="G1311" i="1"/>
  <c r="G1310" i="1"/>
  <c r="G1309" i="1"/>
  <c r="G1308" i="1"/>
  <c r="G1307" i="1"/>
  <c r="G1306" i="1"/>
  <c r="G1305" i="1"/>
  <c r="G1304" i="1"/>
  <c r="G1303" i="1"/>
  <c r="G1302" i="1"/>
  <c r="G1301" i="1"/>
  <c r="G1300" i="1"/>
  <c r="G1299" i="1"/>
  <c r="G1298" i="1"/>
  <c r="G1296" i="1"/>
  <c r="G1295" i="1"/>
  <c r="G1294" i="1"/>
  <c r="G1293" i="1"/>
  <c r="G1292" i="1"/>
  <c r="G1291" i="1"/>
  <c r="G1290" i="1"/>
  <c r="G1289" i="1"/>
  <c r="G1288" i="1"/>
  <c r="G1287" i="1"/>
  <c r="G1286" i="1"/>
  <c r="G1285" i="1"/>
  <c r="G1284" i="1"/>
  <c r="G1283" i="1"/>
  <c r="G1282" i="1"/>
  <c r="G1281" i="1"/>
  <c r="G1280" i="1"/>
  <c r="G1279" i="1"/>
  <c r="G1278" i="1"/>
  <c r="G1277" i="1"/>
  <c r="G1276" i="1"/>
  <c r="G1275" i="1"/>
  <c r="G1274" i="1"/>
  <c r="G1273" i="1"/>
  <c r="G1272" i="1"/>
  <c r="G1271" i="1"/>
  <c r="G1270" i="1"/>
  <c r="G1269" i="1"/>
  <c r="G1268" i="1"/>
  <c r="G1267" i="1"/>
  <c r="G1266" i="1"/>
  <c r="G1265" i="1"/>
  <c r="G1264" i="1"/>
  <c r="G1263" i="1"/>
  <c r="G1262" i="1"/>
  <c r="G1260" i="1"/>
  <c r="G1259" i="1"/>
  <c r="G1258" i="1"/>
  <c r="G1257" i="1"/>
  <c r="G1256" i="1"/>
  <c r="G1255" i="1"/>
  <c r="G1254" i="1"/>
  <c r="G1253" i="1"/>
  <c r="G1252" i="1"/>
  <c r="G1251" i="1"/>
  <c r="G1250" i="1"/>
  <c r="G1249" i="1"/>
  <c r="G1248" i="1"/>
  <c r="G1247" i="1"/>
  <c r="G1246" i="1"/>
  <c r="G1245" i="1"/>
  <c r="G1244" i="1"/>
  <c r="G1243" i="1"/>
  <c r="G1242" i="1"/>
  <c r="G1241" i="1"/>
  <c r="G1240" i="1"/>
  <c r="G1239" i="1"/>
  <c r="G1238" i="1"/>
  <c r="G1237" i="1"/>
  <c r="G1236" i="1"/>
  <c r="G1235" i="1"/>
  <c r="G1234" i="1"/>
  <c r="G1233" i="1"/>
  <c r="G1232" i="1"/>
  <c r="G1231" i="1"/>
  <c r="G1230" i="1"/>
  <c r="G1229" i="1"/>
  <c r="G1228" i="1"/>
  <c r="G1227" i="1"/>
  <c r="G1226" i="1"/>
  <c r="G1224" i="1"/>
  <c r="G1223" i="1"/>
  <c r="G1222" i="1"/>
  <c r="G1221" i="1"/>
  <c r="G1220" i="1"/>
  <c r="G1219" i="1"/>
  <c r="G1218" i="1"/>
  <c r="G1217" i="1"/>
  <c r="G1216" i="1"/>
  <c r="G1215" i="1"/>
  <c r="G1214" i="1"/>
  <c r="G1213" i="1"/>
  <c r="G1212" i="1"/>
  <c r="G1211" i="1"/>
  <c r="G1210" i="1"/>
  <c r="G1209" i="1"/>
  <c r="G1208" i="1"/>
  <c r="G1207" i="1"/>
  <c r="G1206" i="1"/>
  <c r="G1205" i="1"/>
  <c r="G1204" i="1"/>
  <c r="G1203" i="1"/>
  <c r="G1202" i="1"/>
  <c r="G1201" i="1"/>
  <c r="G1200" i="1"/>
  <c r="G1199" i="1"/>
  <c r="G1198" i="1"/>
  <c r="G1197" i="1"/>
  <c r="G1196" i="1"/>
  <c r="G1195" i="1"/>
  <c r="G1194" i="1"/>
  <c r="G1193" i="1"/>
  <c r="G1192" i="1"/>
  <c r="G1191" i="1"/>
  <c r="G1190" i="1"/>
  <c r="G1188" i="1"/>
  <c r="G1187" i="1"/>
  <c r="G1186" i="1"/>
  <c r="G1185" i="1"/>
  <c r="G1184" i="1"/>
  <c r="G1183" i="1"/>
  <c r="G1182" i="1"/>
  <c r="G1181" i="1"/>
  <c r="G1180" i="1"/>
  <c r="G1179" i="1"/>
  <c r="G1178" i="1"/>
  <c r="G1177" i="1"/>
  <c r="G1176" i="1"/>
  <c r="G1175" i="1"/>
  <c r="G1174" i="1"/>
  <c r="G1173" i="1"/>
  <c r="G1172" i="1"/>
  <c r="G1171" i="1"/>
  <c r="G1170" i="1"/>
  <c r="G1169" i="1"/>
  <c r="G1168" i="1"/>
  <c r="G1167" i="1"/>
  <c r="G1166" i="1"/>
  <c r="G1165" i="1"/>
  <c r="G1164" i="1"/>
  <c r="G1163" i="1"/>
  <c r="G1162" i="1"/>
  <c r="G1161" i="1"/>
  <c r="G1160" i="1"/>
  <c r="G1159" i="1"/>
  <c r="G1158" i="1"/>
  <c r="G1157" i="1"/>
  <c r="G1156" i="1"/>
  <c r="G1155" i="1"/>
  <c r="G1154" i="1"/>
  <c r="G1152" i="1"/>
  <c r="G1151" i="1"/>
  <c r="G1150" i="1"/>
  <c r="G1149" i="1"/>
  <c r="G1148" i="1"/>
  <c r="G1147" i="1"/>
  <c r="G1146" i="1"/>
  <c r="G1145" i="1"/>
  <c r="G1144" i="1"/>
  <c r="G1143" i="1"/>
  <c r="G1142" i="1"/>
  <c r="G1141" i="1"/>
  <c r="G1140" i="1"/>
  <c r="G1139" i="1"/>
  <c r="G1138" i="1"/>
  <c r="G1137" i="1"/>
  <c r="G1136" i="1"/>
  <c r="G1135" i="1"/>
  <c r="G1134" i="1"/>
  <c r="G1133" i="1"/>
  <c r="G1132" i="1"/>
  <c r="G1131" i="1"/>
  <c r="G1130" i="1"/>
  <c r="G1129" i="1"/>
  <c r="G1128" i="1"/>
  <c r="G1127" i="1"/>
  <c r="G1126" i="1"/>
  <c r="G1125" i="1"/>
  <c r="G1124" i="1"/>
  <c r="G1123" i="1"/>
  <c r="G1122" i="1"/>
  <c r="G1121" i="1"/>
  <c r="G1120" i="1"/>
  <c r="G1119" i="1"/>
  <c r="G1118" i="1"/>
  <c r="G1116" i="1"/>
  <c r="G1115" i="1"/>
  <c r="G1114" i="1"/>
  <c r="G1113" i="1"/>
  <c r="G1112" i="1"/>
  <c r="G1111" i="1"/>
  <c r="G1110" i="1"/>
  <c r="G1109" i="1"/>
  <c r="G1108" i="1"/>
  <c r="G1107" i="1"/>
  <c r="G1106" i="1"/>
  <c r="G1105" i="1"/>
  <c r="G1104" i="1"/>
  <c r="G1103" i="1"/>
  <c r="G1102" i="1"/>
  <c r="G1101" i="1"/>
  <c r="G1100" i="1"/>
  <c r="G1099" i="1"/>
  <c r="G1098" i="1"/>
  <c r="G1097" i="1"/>
  <c r="G1096" i="1"/>
  <c r="G1095" i="1"/>
  <c r="G1094" i="1"/>
  <c r="G1093" i="1"/>
  <c r="G1092" i="1"/>
  <c r="G1091" i="1"/>
  <c r="G1090" i="1"/>
  <c r="G1089" i="1"/>
  <c r="G1088" i="1"/>
  <c r="G1087" i="1"/>
  <c r="G1086" i="1"/>
  <c r="G1085" i="1"/>
  <c r="G1084" i="1"/>
  <c r="G1083" i="1"/>
  <c r="G1082" i="1"/>
  <c r="G1080" i="1"/>
  <c r="G1079" i="1"/>
  <c r="G1078" i="1"/>
  <c r="G1077" i="1"/>
  <c r="G1076" i="1"/>
  <c r="G1075" i="1"/>
  <c r="G1074" i="1"/>
  <c r="G1073" i="1"/>
  <c r="G1072" i="1"/>
  <c r="G1071" i="1"/>
  <c r="G1070" i="1"/>
  <c r="G1069" i="1"/>
  <c r="G1068" i="1"/>
  <c r="G1067" i="1"/>
  <c r="G1066" i="1"/>
  <c r="G1065" i="1"/>
  <c r="G1064" i="1"/>
  <c r="G1063" i="1"/>
  <c r="G1062" i="1"/>
  <c r="G1061" i="1"/>
  <c r="G1060" i="1"/>
  <c r="G1059" i="1"/>
  <c r="G1058" i="1"/>
  <c r="G1057" i="1"/>
  <c r="G1056" i="1"/>
  <c r="G1055" i="1"/>
  <c r="G1054" i="1"/>
  <c r="G1053" i="1"/>
  <c r="G1052" i="1"/>
  <c r="G1051" i="1"/>
  <c r="G1050" i="1"/>
  <c r="G1049" i="1"/>
  <c r="G1048" i="1"/>
  <c r="G1047" i="1"/>
  <c r="G1046" i="1"/>
  <c r="G1044" i="1"/>
  <c r="G1043" i="1"/>
  <c r="G1042" i="1"/>
  <c r="G1041" i="1"/>
  <c r="G1040" i="1"/>
  <c r="G1039" i="1"/>
  <c r="G1038" i="1"/>
  <c r="G1037" i="1"/>
  <c r="G1036" i="1"/>
  <c r="G1035" i="1"/>
  <c r="G1034" i="1"/>
  <c r="G1033" i="1"/>
  <c r="G1032" i="1"/>
  <c r="G1031" i="1"/>
  <c r="G1030" i="1"/>
  <c r="G1029" i="1"/>
  <c r="G1028" i="1"/>
  <c r="G1027" i="1"/>
  <c r="G1026" i="1"/>
  <c r="G1025" i="1"/>
  <c r="G1024" i="1"/>
  <c r="G1023" i="1"/>
  <c r="G1022" i="1"/>
  <c r="G1021" i="1"/>
  <c r="G1020" i="1"/>
  <c r="G1019" i="1"/>
  <c r="G1018" i="1"/>
  <c r="G1017" i="1"/>
  <c r="G1016" i="1"/>
  <c r="G1015" i="1"/>
  <c r="G1014" i="1"/>
  <c r="G1013" i="1"/>
  <c r="G1012" i="1"/>
  <c r="G1011" i="1"/>
  <c r="G1010" i="1"/>
  <c r="G1008" i="1"/>
  <c r="G1007" i="1"/>
  <c r="G1006" i="1"/>
  <c r="G1005" i="1"/>
  <c r="G1004" i="1"/>
  <c r="G1003" i="1"/>
  <c r="G1002" i="1"/>
  <c r="G1001" i="1"/>
  <c r="G1000" i="1"/>
  <c r="G999" i="1"/>
  <c r="G998" i="1"/>
  <c r="G997" i="1"/>
  <c r="G996" i="1"/>
  <c r="G995" i="1"/>
  <c r="G994" i="1"/>
  <c r="G993" i="1"/>
  <c r="G992" i="1"/>
  <c r="G991" i="1"/>
  <c r="G990" i="1"/>
  <c r="G989" i="1"/>
  <c r="G988" i="1"/>
  <c r="G987" i="1"/>
  <c r="G986" i="1"/>
  <c r="G985" i="1"/>
  <c r="G984" i="1"/>
  <c r="G983" i="1"/>
  <c r="G982" i="1"/>
  <c r="G981" i="1"/>
  <c r="G980" i="1"/>
  <c r="G979" i="1"/>
  <c r="G978" i="1"/>
  <c r="G977" i="1"/>
  <c r="G976" i="1"/>
  <c r="G975" i="1"/>
  <c r="G974" i="1"/>
  <c r="G972" i="1"/>
  <c r="G971" i="1"/>
  <c r="G970" i="1"/>
  <c r="G969" i="1"/>
  <c r="G968" i="1"/>
  <c r="G967" i="1"/>
  <c r="G966" i="1"/>
  <c r="G965" i="1"/>
  <c r="G964" i="1"/>
  <c r="G963" i="1"/>
  <c r="G962" i="1"/>
  <c r="G961" i="1"/>
  <c r="G960" i="1"/>
  <c r="G959" i="1"/>
  <c r="G958" i="1"/>
  <c r="G957" i="1"/>
  <c r="G956" i="1"/>
  <c r="G955" i="1"/>
  <c r="G954" i="1"/>
  <c r="G953" i="1"/>
  <c r="G952" i="1"/>
  <c r="G951" i="1"/>
  <c r="G950" i="1"/>
  <c r="G949" i="1"/>
  <c r="G948" i="1"/>
  <c r="G947" i="1"/>
  <c r="G946" i="1"/>
  <c r="G945" i="1"/>
  <c r="G944" i="1"/>
  <c r="G943" i="1"/>
  <c r="G942" i="1"/>
  <c r="G941" i="1"/>
  <c r="G940" i="1"/>
  <c r="G939" i="1"/>
  <c r="G938" i="1"/>
  <c r="G936" i="1"/>
  <c r="G935" i="1"/>
  <c r="G934" i="1"/>
  <c r="G933" i="1"/>
  <c r="G932" i="1"/>
  <c r="G931" i="1"/>
  <c r="G930" i="1"/>
  <c r="G929" i="1"/>
  <c r="G928" i="1"/>
  <c r="G927" i="1"/>
  <c r="G926" i="1"/>
  <c r="G925" i="1"/>
  <c r="G924" i="1"/>
  <c r="G923" i="1"/>
  <c r="G922" i="1"/>
  <c r="G921" i="1"/>
  <c r="G920" i="1"/>
  <c r="G919" i="1"/>
  <c r="G918" i="1"/>
  <c r="G917" i="1"/>
  <c r="G916" i="1"/>
  <c r="G915" i="1"/>
  <c r="G914" i="1"/>
  <c r="G913" i="1"/>
  <c r="G912" i="1"/>
  <c r="G911" i="1"/>
  <c r="G910" i="1"/>
  <c r="G909" i="1"/>
  <c r="G908" i="1"/>
  <c r="G907" i="1"/>
  <c r="G906" i="1"/>
  <c r="G905" i="1"/>
  <c r="G904" i="1"/>
  <c r="G903" i="1"/>
  <c r="G902" i="1"/>
  <c r="G900" i="1"/>
  <c r="G899" i="1"/>
  <c r="G898" i="1"/>
  <c r="G897" i="1"/>
  <c r="G896" i="1"/>
  <c r="G895" i="1"/>
  <c r="G894" i="1"/>
  <c r="G893" i="1"/>
  <c r="G892" i="1"/>
  <c r="G891" i="1"/>
  <c r="G890" i="1"/>
  <c r="G889" i="1"/>
  <c r="G888" i="1"/>
  <c r="G887" i="1"/>
  <c r="G886" i="1"/>
  <c r="G885" i="1"/>
  <c r="G884" i="1"/>
  <c r="G883" i="1"/>
  <c r="G882" i="1"/>
  <c r="G881" i="1"/>
  <c r="G880" i="1"/>
  <c r="G879" i="1"/>
  <c r="G878" i="1"/>
  <c r="G877" i="1"/>
  <c r="G876" i="1"/>
  <c r="G875" i="1"/>
  <c r="G874" i="1"/>
  <c r="G873" i="1"/>
  <c r="G872" i="1"/>
  <c r="G871" i="1"/>
  <c r="G870" i="1"/>
  <c r="G869" i="1"/>
  <c r="G868" i="1"/>
  <c r="G867" i="1"/>
  <c r="G866" i="1"/>
  <c r="G864" i="1"/>
  <c r="G863" i="1"/>
  <c r="G862" i="1"/>
  <c r="G861" i="1"/>
  <c r="G860" i="1"/>
  <c r="G859" i="1"/>
  <c r="G858" i="1"/>
  <c r="G857" i="1"/>
  <c r="G856" i="1"/>
  <c r="G855" i="1"/>
  <c r="G854" i="1"/>
  <c r="G853" i="1"/>
  <c r="G852" i="1"/>
  <c r="G851" i="1"/>
  <c r="G850" i="1"/>
  <c r="G849" i="1"/>
  <c r="G848" i="1"/>
  <c r="G847" i="1"/>
  <c r="G846" i="1"/>
  <c r="G845" i="1"/>
  <c r="G844" i="1"/>
  <c r="G843" i="1"/>
  <c r="G842" i="1"/>
  <c r="G841" i="1"/>
  <c r="G840" i="1"/>
  <c r="G839" i="1"/>
  <c r="G838" i="1"/>
  <c r="G837" i="1"/>
  <c r="G836" i="1"/>
  <c r="G835" i="1"/>
  <c r="G834" i="1"/>
  <c r="G833" i="1"/>
  <c r="G832" i="1"/>
  <c r="G831" i="1"/>
  <c r="G830" i="1"/>
  <c r="G828" i="1"/>
  <c r="G827" i="1"/>
  <c r="G826" i="1"/>
  <c r="G825" i="1"/>
  <c r="G824" i="1"/>
  <c r="G823" i="1"/>
  <c r="G822" i="1"/>
  <c r="G821" i="1"/>
  <c r="G820" i="1"/>
  <c r="G819" i="1"/>
  <c r="G818" i="1"/>
  <c r="G817" i="1"/>
  <c r="G816" i="1"/>
  <c r="G815" i="1"/>
  <c r="G814" i="1"/>
  <c r="G813" i="1"/>
  <c r="G812" i="1"/>
  <c r="G811" i="1"/>
  <c r="G810" i="1"/>
  <c r="G809" i="1"/>
  <c r="G808" i="1"/>
  <c r="G807" i="1"/>
  <c r="G806" i="1"/>
  <c r="G805" i="1"/>
  <c r="G804" i="1"/>
  <c r="G803" i="1"/>
  <c r="G802" i="1"/>
  <c r="G801" i="1"/>
  <c r="G800" i="1"/>
  <c r="G799" i="1"/>
  <c r="G798" i="1"/>
  <c r="G797" i="1"/>
  <c r="G796" i="1"/>
  <c r="G795" i="1"/>
  <c r="G794" i="1"/>
  <c r="G792" i="1"/>
  <c r="G791" i="1"/>
  <c r="G790" i="1"/>
  <c r="G789" i="1"/>
  <c r="G788" i="1"/>
  <c r="G787" i="1"/>
  <c r="G786" i="1"/>
  <c r="G785" i="1"/>
  <c r="G784" i="1"/>
  <c r="G783" i="1"/>
  <c r="G782" i="1"/>
  <c r="G781" i="1"/>
  <c r="G780" i="1"/>
  <c r="G779" i="1"/>
  <c r="G778" i="1"/>
  <c r="G777" i="1"/>
  <c r="G776" i="1"/>
  <c r="G775" i="1"/>
  <c r="G774" i="1"/>
  <c r="G773" i="1"/>
  <c r="G772" i="1"/>
  <c r="G771" i="1"/>
  <c r="G770" i="1"/>
  <c r="G769" i="1"/>
  <c r="G768" i="1"/>
  <c r="G767" i="1"/>
  <c r="G766" i="1"/>
  <c r="G765" i="1"/>
  <c r="G764" i="1"/>
  <c r="G763" i="1"/>
  <c r="G762" i="1"/>
  <c r="G761" i="1"/>
  <c r="G760" i="1"/>
  <c r="G759" i="1"/>
  <c r="G758" i="1"/>
  <c r="G756" i="1"/>
  <c r="G755" i="1"/>
  <c r="G754" i="1"/>
  <c r="G753" i="1"/>
  <c r="G752" i="1"/>
  <c r="G751" i="1"/>
  <c r="G750" i="1"/>
  <c r="G749" i="1"/>
  <c r="G748" i="1"/>
  <c r="G747" i="1"/>
  <c r="G746" i="1"/>
  <c r="G745" i="1"/>
  <c r="G744" i="1"/>
  <c r="G743" i="1"/>
  <c r="G742" i="1"/>
  <c r="G741" i="1"/>
  <c r="G740" i="1"/>
  <c r="G739" i="1"/>
  <c r="G738" i="1"/>
  <c r="G737" i="1"/>
  <c r="G736" i="1"/>
  <c r="G735" i="1"/>
  <c r="G734" i="1"/>
  <c r="G733" i="1"/>
  <c r="G732" i="1"/>
  <c r="G731" i="1"/>
  <c r="G730" i="1"/>
  <c r="G729" i="1"/>
  <c r="G728" i="1"/>
  <c r="G727" i="1"/>
  <c r="G726" i="1"/>
  <c r="G725" i="1"/>
  <c r="G724" i="1"/>
  <c r="G723" i="1"/>
  <c r="G722" i="1"/>
  <c r="G720" i="1"/>
  <c r="G719" i="1"/>
  <c r="G718" i="1"/>
  <c r="G717" i="1"/>
  <c r="G716" i="1"/>
  <c r="G715" i="1"/>
  <c r="G714" i="1"/>
  <c r="G713" i="1"/>
  <c r="G712" i="1"/>
  <c r="G711" i="1"/>
  <c r="G710" i="1"/>
  <c r="G709" i="1"/>
  <c r="G708" i="1"/>
  <c r="G707" i="1"/>
  <c r="G706" i="1"/>
  <c r="G705" i="1"/>
  <c r="G704" i="1"/>
  <c r="G703" i="1"/>
  <c r="G702" i="1"/>
  <c r="G701" i="1"/>
  <c r="G700" i="1"/>
  <c r="G699" i="1"/>
  <c r="G698" i="1"/>
  <c r="G697" i="1"/>
  <c r="G696" i="1"/>
  <c r="G695" i="1"/>
  <c r="G694" i="1"/>
  <c r="G693" i="1"/>
  <c r="G692" i="1"/>
  <c r="G691" i="1"/>
  <c r="G690" i="1"/>
  <c r="G689" i="1"/>
  <c r="G688" i="1"/>
  <c r="G687" i="1"/>
  <c r="G686" i="1"/>
  <c r="G684" i="1"/>
  <c r="G683" i="1"/>
  <c r="G682" i="1"/>
  <c r="G681" i="1"/>
  <c r="G680" i="1"/>
  <c r="G679" i="1"/>
  <c r="G678" i="1"/>
  <c r="G677" i="1"/>
  <c r="G676" i="1"/>
  <c r="G675" i="1"/>
  <c r="G674" i="1"/>
  <c r="G673" i="1"/>
  <c r="G672" i="1"/>
  <c r="G671" i="1"/>
  <c r="G670" i="1"/>
  <c r="G669" i="1"/>
  <c r="G668" i="1"/>
  <c r="G667" i="1"/>
  <c r="G666" i="1"/>
  <c r="G665" i="1"/>
  <c r="G664" i="1"/>
  <c r="G663" i="1"/>
  <c r="G662" i="1"/>
  <c r="G661" i="1"/>
  <c r="G660" i="1"/>
  <c r="G659" i="1"/>
  <c r="G658" i="1"/>
  <c r="G657" i="1"/>
  <c r="G656" i="1"/>
  <c r="G655" i="1"/>
  <c r="G654" i="1"/>
  <c r="G653" i="1"/>
  <c r="G652" i="1"/>
  <c r="G651" i="1"/>
  <c r="G650" i="1"/>
  <c r="G648" i="1"/>
  <c r="G647" i="1"/>
  <c r="G646" i="1"/>
  <c r="G645" i="1"/>
  <c r="G644" i="1"/>
  <c r="G643" i="1"/>
  <c r="G642" i="1"/>
  <c r="G641" i="1"/>
  <c r="G640" i="1"/>
  <c r="G639" i="1"/>
  <c r="G638" i="1"/>
  <c r="G637" i="1"/>
  <c r="G636" i="1"/>
  <c r="G635" i="1"/>
  <c r="G634" i="1"/>
  <c r="G633" i="1"/>
  <c r="G632" i="1"/>
  <c r="G631" i="1"/>
  <c r="G630" i="1"/>
  <c r="G629" i="1"/>
  <c r="G628" i="1"/>
  <c r="G627" i="1"/>
  <c r="G626" i="1"/>
  <c r="G625" i="1"/>
  <c r="G624" i="1"/>
  <c r="G623" i="1"/>
  <c r="G622" i="1"/>
  <c r="G621" i="1"/>
  <c r="G620" i="1"/>
  <c r="G619" i="1"/>
  <c r="G618" i="1"/>
  <c r="G617" i="1"/>
  <c r="G616" i="1"/>
  <c r="G615" i="1"/>
  <c r="G614" i="1"/>
  <c r="G612" i="1"/>
  <c r="G611" i="1"/>
  <c r="G610" i="1"/>
  <c r="G609" i="1"/>
  <c r="G608" i="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82" i="1"/>
  <c r="G581" i="1"/>
  <c r="G580" i="1"/>
  <c r="G579" i="1"/>
  <c r="G578" i="1"/>
  <c r="G576" i="1"/>
  <c r="G575" i="1"/>
  <c r="G574" i="1"/>
  <c r="G573" i="1"/>
  <c r="G572" i="1"/>
  <c r="G571" i="1"/>
  <c r="G570" i="1"/>
  <c r="G569"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G542" i="1"/>
  <c r="G540" i="1"/>
  <c r="G539" i="1"/>
  <c r="G538" i="1"/>
  <c r="G537" i="1"/>
  <c r="G536"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7" i="1"/>
  <c r="G506"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 r="G3" i="1"/>
  <c r="G2" i="1"/>
  <c r="I25" i="3" l="1"/>
  <c r="K3" i="1" l="1"/>
  <c r="K4" i="1"/>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6" i="1"/>
  <c r="K507" i="1"/>
  <c r="K508" i="1"/>
  <c r="K509" i="1"/>
  <c r="K510" i="1"/>
  <c r="K511" i="1"/>
  <c r="K512" i="1"/>
  <c r="K513" i="1"/>
  <c r="K514" i="1"/>
  <c r="K515" i="1"/>
  <c r="K516" i="1"/>
  <c r="K517" i="1"/>
  <c r="K518" i="1"/>
  <c r="K519" i="1"/>
  <c r="K520" i="1"/>
  <c r="K521" i="1"/>
  <c r="K522" i="1"/>
  <c r="K523" i="1"/>
  <c r="K524" i="1"/>
  <c r="K525" i="1"/>
  <c r="K526" i="1"/>
  <c r="K527" i="1"/>
  <c r="K528" i="1"/>
  <c r="K529" i="1"/>
  <c r="K530" i="1"/>
  <c r="K531" i="1"/>
  <c r="K532" i="1"/>
  <c r="K533" i="1"/>
  <c r="K534" i="1"/>
  <c r="K535" i="1"/>
  <c r="K536" i="1"/>
  <c r="K537" i="1"/>
  <c r="K538" i="1"/>
  <c r="K539" i="1"/>
  <c r="K540" i="1"/>
  <c r="K542" i="1"/>
  <c r="K543" i="1"/>
  <c r="K544" i="1"/>
  <c r="K545" i="1"/>
  <c r="K546" i="1"/>
  <c r="K547" i="1"/>
  <c r="K548" i="1"/>
  <c r="K549" i="1"/>
  <c r="K550" i="1"/>
  <c r="K551" i="1"/>
  <c r="K552" i="1"/>
  <c r="K553" i="1"/>
  <c r="K554" i="1"/>
  <c r="K555" i="1"/>
  <c r="K556" i="1"/>
  <c r="K557" i="1"/>
  <c r="K558" i="1"/>
  <c r="K559" i="1"/>
  <c r="K560" i="1"/>
  <c r="K561" i="1"/>
  <c r="K562" i="1"/>
  <c r="K563" i="1"/>
  <c r="K564" i="1"/>
  <c r="K565" i="1"/>
  <c r="K566" i="1"/>
  <c r="K567" i="1"/>
  <c r="K568" i="1"/>
  <c r="K569" i="1"/>
  <c r="K570" i="1"/>
  <c r="K571" i="1"/>
  <c r="K572" i="1"/>
  <c r="K573" i="1"/>
  <c r="K574" i="1"/>
  <c r="K575" i="1"/>
  <c r="K576" i="1"/>
  <c r="K578" i="1"/>
  <c r="K579" i="1"/>
  <c r="K580" i="1"/>
  <c r="K581" i="1"/>
  <c r="K582" i="1"/>
  <c r="K583" i="1"/>
  <c r="K584" i="1"/>
  <c r="K585" i="1"/>
  <c r="K586" i="1"/>
  <c r="K587" i="1"/>
  <c r="K588" i="1"/>
  <c r="K589" i="1"/>
  <c r="K590" i="1"/>
  <c r="K591" i="1"/>
  <c r="K592" i="1"/>
  <c r="K593" i="1"/>
  <c r="K594" i="1"/>
  <c r="K595" i="1"/>
  <c r="K596" i="1"/>
  <c r="K597" i="1"/>
  <c r="K598" i="1"/>
  <c r="K599" i="1"/>
  <c r="K600" i="1"/>
  <c r="K601" i="1"/>
  <c r="K602" i="1"/>
  <c r="K603" i="1"/>
  <c r="K604" i="1"/>
  <c r="K605" i="1"/>
  <c r="K606" i="1"/>
  <c r="K607" i="1"/>
  <c r="K608" i="1"/>
  <c r="K609" i="1"/>
  <c r="K610" i="1"/>
  <c r="K611" i="1"/>
  <c r="K612" i="1"/>
  <c r="K614" i="1"/>
  <c r="K615" i="1"/>
  <c r="K616" i="1"/>
  <c r="K617" i="1"/>
  <c r="K618" i="1"/>
  <c r="K619" i="1"/>
  <c r="K620" i="1"/>
  <c r="K621" i="1"/>
  <c r="K622" i="1"/>
  <c r="K623" i="1"/>
  <c r="K624" i="1"/>
  <c r="K625" i="1"/>
  <c r="K626" i="1"/>
  <c r="K627" i="1"/>
  <c r="K628" i="1"/>
  <c r="K629" i="1"/>
  <c r="K630" i="1"/>
  <c r="K631" i="1"/>
  <c r="K632" i="1"/>
  <c r="K633" i="1"/>
  <c r="K634" i="1"/>
  <c r="K635" i="1"/>
  <c r="K636" i="1"/>
  <c r="K637" i="1"/>
  <c r="K638" i="1"/>
  <c r="K639" i="1"/>
  <c r="K640" i="1"/>
  <c r="K641" i="1"/>
  <c r="K642" i="1"/>
  <c r="K643" i="1"/>
  <c r="K644" i="1"/>
  <c r="K645" i="1"/>
  <c r="K646" i="1"/>
  <c r="K647" i="1"/>
  <c r="K648" i="1"/>
  <c r="K650" i="1"/>
  <c r="K651" i="1"/>
  <c r="K652" i="1"/>
  <c r="K653" i="1"/>
  <c r="K654" i="1"/>
  <c r="K655" i="1"/>
  <c r="K656" i="1"/>
  <c r="K657" i="1"/>
  <c r="K658" i="1"/>
  <c r="K659" i="1"/>
  <c r="K660" i="1"/>
  <c r="K661" i="1"/>
  <c r="K662" i="1"/>
  <c r="K663" i="1"/>
  <c r="K664" i="1"/>
  <c r="K665" i="1"/>
  <c r="K666" i="1"/>
  <c r="K667" i="1"/>
  <c r="K668" i="1"/>
  <c r="K669" i="1"/>
  <c r="K670" i="1"/>
  <c r="K671" i="1"/>
  <c r="K672" i="1"/>
  <c r="K673" i="1"/>
  <c r="K674" i="1"/>
  <c r="K675" i="1"/>
  <c r="K676" i="1"/>
  <c r="K677" i="1"/>
  <c r="K678" i="1"/>
  <c r="K679" i="1"/>
  <c r="K680" i="1"/>
  <c r="K681" i="1"/>
  <c r="K682" i="1"/>
  <c r="K683" i="1"/>
  <c r="K684" i="1"/>
  <c r="K686" i="1"/>
  <c r="K687" i="1"/>
  <c r="K688" i="1"/>
  <c r="K689" i="1"/>
  <c r="K690" i="1"/>
  <c r="K691" i="1"/>
  <c r="K692" i="1"/>
  <c r="K693" i="1"/>
  <c r="K694" i="1"/>
  <c r="K695" i="1"/>
  <c r="K696" i="1"/>
  <c r="K697" i="1"/>
  <c r="K698" i="1"/>
  <c r="K699" i="1"/>
  <c r="K700" i="1"/>
  <c r="K701" i="1"/>
  <c r="K702" i="1"/>
  <c r="K703" i="1"/>
  <c r="K704" i="1"/>
  <c r="K705" i="1"/>
  <c r="K706" i="1"/>
  <c r="K707" i="1"/>
  <c r="K708" i="1"/>
  <c r="K709" i="1"/>
  <c r="K710" i="1"/>
  <c r="K711" i="1"/>
  <c r="K712" i="1"/>
  <c r="K713" i="1"/>
  <c r="K714" i="1"/>
  <c r="K715" i="1"/>
  <c r="K716" i="1"/>
  <c r="K717" i="1"/>
  <c r="K718" i="1"/>
  <c r="K719" i="1"/>
  <c r="K720" i="1"/>
  <c r="K722" i="1"/>
  <c r="K723" i="1"/>
  <c r="K724" i="1"/>
  <c r="K725" i="1"/>
  <c r="K726" i="1"/>
  <c r="K727" i="1"/>
  <c r="K728" i="1"/>
  <c r="K729" i="1"/>
  <c r="K730" i="1"/>
  <c r="K731" i="1"/>
  <c r="K732" i="1"/>
  <c r="K733" i="1"/>
  <c r="K734" i="1"/>
  <c r="K735" i="1"/>
  <c r="K736" i="1"/>
  <c r="K737" i="1"/>
  <c r="K738" i="1"/>
  <c r="K739" i="1"/>
  <c r="K740" i="1"/>
  <c r="K741" i="1"/>
  <c r="K742" i="1"/>
  <c r="K743" i="1"/>
  <c r="K744" i="1"/>
  <c r="K745" i="1"/>
  <c r="K746" i="1"/>
  <c r="K747" i="1"/>
  <c r="K748" i="1"/>
  <c r="K749" i="1"/>
  <c r="K750" i="1"/>
  <c r="K751" i="1"/>
  <c r="K752" i="1"/>
  <c r="K753" i="1"/>
  <c r="K754" i="1"/>
  <c r="K755" i="1"/>
  <c r="K756" i="1"/>
  <c r="K758" i="1"/>
  <c r="K759" i="1"/>
  <c r="K760" i="1"/>
  <c r="K761" i="1"/>
  <c r="K762" i="1"/>
  <c r="K763" i="1"/>
  <c r="K764" i="1"/>
  <c r="K765" i="1"/>
  <c r="K766" i="1"/>
  <c r="K767" i="1"/>
  <c r="K768" i="1"/>
  <c r="K769" i="1"/>
  <c r="K770" i="1"/>
  <c r="K771" i="1"/>
  <c r="K772" i="1"/>
  <c r="K773" i="1"/>
  <c r="K774" i="1"/>
  <c r="K775" i="1"/>
  <c r="K776" i="1"/>
  <c r="K777" i="1"/>
  <c r="K778" i="1"/>
  <c r="K779" i="1"/>
  <c r="K780" i="1"/>
  <c r="K781" i="1"/>
  <c r="K782" i="1"/>
  <c r="K783" i="1"/>
  <c r="K784" i="1"/>
  <c r="K785" i="1"/>
  <c r="K786" i="1"/>
  <c r="K787" i="1"/>
  <c r="K788" i="1"/>
  <c r="K789" i="1"/>
  <c r="K790" i="1"/>
  <c r="K791" i="1"/>
  <c r="K792" i="1"/>
  <c r="K794" i="1"/>
  <c r="K795" i="1"/>
  <c r="K796" i="1"/>
  <c r="K797" i="1"/>
  <c r="K798" i="1"/>
  <c r="K799" i="1"/>
  <c r="K800" i="1"/>
  <c r="K801" i="1"/>
  <c r="K802" i="1"/>
  <c r="K803" i="1"/>
  <c r="K804" i="1"/>
  <c r="K805" i="1"/>
  <c r="K806" i="1"/>
  <c r="K807" i="1"/>
  <c r="K808" i="1"/>
  <c r="K809" i="1"/>
  <c r="K810" i="1"/>
  <c r="K811" i="1"/>
  <c r="K812" i="1"/>
  <c r="K813" i="1"/>
  <c r="K814" i="1"/>
  <c r="K815" i="1"/>
  <c r="K816" i="1"/>
  <c r="K817" i="1"/>
  <c r="K818" i="1"/>
  <c r="K819" i="1"/>
  <c r="K820" i="1"/>
  <c r="K821" i="1"/>
  <c r="K822" i="1"/>
  <c r="K823" i="1"/>
  <c r="K824" i="1"/>
  <c r="K825" i="1"/>
  <c r="K826" i="1"/>
  <c r="K827" i="1"/>
  <c r="K828" i="1"/>
  <c r="K830" i="1"/>
  <c r="K831" i="1"/>
  <c r="K832" i="1"/>
  <c r="K833" i="1"/>
  <c r="K834" i="1"/>
  <c r="K835" i="1"/>
  <c r="K836" i="1"/>
  <c r="K837" i="1"/>
  <c r="K838" i="1"/>
  <c r="K839" i="1"/>
  <c r="K840" i="1"/>
  <c r="K841" i="1"/>
  <c r="K842" i="1"/>
  <c r="K843" i="1"/>
  <c r="K844" i="1"/>
  <c r="K845" i="1"/>
  <c r="K846" i="1"/>
  <c r="K847" i="1"/>
  <c r="K848" i="1"/>
  <c r="K849" i="1"/>
  <c r="K850" i="1"/>
  <c r="K851" i="1"/>
  <c r="K852" i="1"/>
  <c r="K853" i="1"/>
  <c r="K854" i="1"/>
  <c r="K855" i="1"/>
  <c r="K856" i="1"/>
  <c r="K857" i="1"/>
  <c r="K858" i="1"/>
  <c r="K859" i="1"/>
  <c r="K860" i="1"/>
  <c r="K861" i="1"/>
  <c r="K862" i="1"/>
  <c r="K863" i="1"/>
  <c r="K864" i="1"/>
  <c r="K866" i="1"/>
  <c r="K867" i="1"/>
  <c r="K868" i="1"/>
  <c r="K869" i="1"/>
  <c r="K870" i="1"/>
  <c r="K871" i="1"/>
  <c r="K872" i="1"/>
  <c r="K873" i="1"/>
  <c r="K874" i="1"/>
  <c r="K875" i="1"/>
  <c r="K876" i="1"/>
  <c r="K877" i="1"/>
  <c r="K878" i="1"/>
  <c r="K879" i="1"/>
  <c r="K880" i="1"/>
  <c r="K881" i="1"/>
  <c r="K882" i="1"/>
  <c r="K883" i="1"/>
  <c r="K884" i="1"/>
  <c r="K885" i="1"/>
  <c r="K886" i="1"/>
  <c r="K887" i="1"/>
  <c r="K888" i="1"/>
  <c r="K889" i="1"/>
  <c r="K890" i="1"/>
  <c r="K891" i="1"/>
  <c r="K892" i="1"/>
  <c r="K893" i="1"/>
  <c r="K894" i="1"/>
  <c r="K895" i="1"/>
  <c r="K896" i="1"/>
  <c r="K897" i="1"/>
  <c r="K898" i="1"/>
  <c r="K899" i="1"/>
  <c r="K900" i="1"/>
  <c r="K902" i="1"/>
  <c r="K903" i="1"/>
  <c r="K904" i="1"/>
  <c r="K905" i="1"/>
  <c r="K906" i="1"/>
  <c r="K907" i="1"/>
  <c r="K908" i="1"/>
  <c r="K909" i="1"/>
  <c r="K910" i="1"/>
  <c r="K911" i="1"/>
  <c r="K912" i="1"/>
  <c r="K913" i="1"/>
  <c r="K914" i="1"/>
  <c r="K915" i="1"/>
  <c r="K916" i="1"/>
  <c r="K917" i="1"/>
  <c r="K918" i="1"/>
  <c r="K919" i="1"/>
  <c r="K920" i="1"/>
  <c r="K921" i="1"/>
  <c r="K922" i="1"/>
  <c r="K923" i="1"/>
  <c r="K924" i="1"/>
  <c r="K925" i="1"/>
  <c r="K926" i="1"/>
  <c r="K927" i="1"/>
  <c r="K928" i="1"/>
  <c r="K929" i="1"/>
  <c r="K930" i="1"/>
  <c r="K931" i="1"/>
  <c r="K932" i="1"/>
  <c r="K933" i="1"/>
  <c r="K934" i="1"/>
  <c r="K935" i="1"/>
  <c r="K936" i="1"/>
  <c r="K938" i="1"/>
  <c r="K939" i="1"/>
  <c r="K940" i="1"/>
  <c r="K941" i="1"/>
  <c r="K942" i="1"/>
  <c r="K943" i="1"/>
  <c r="K944" i="1"/>
  <c r="K945" i="1"/>
  <c r="K946" i="1"/>
  <c r="K947" i="1"/>
  <c r="K948" i="1"/>
  <c r="K949" i="1"/>
  <c r="K950" i="1"/>
  <c r="K951" i="1"/>
  <c r="K952" i="1"/>
  <c r="K953" i="1"/>
  <c r="K954" i="1"/>
  <c r="K955" i="1"/>
  <c r="K956" i="1"/>
  <c r="K957" i="1"/>
  <c r="K958" i="1"/>
  <c r="K959" i="1"/>
  <c r="K960" i="1"/>
  <c r="K961" i="1"/>
  <c r="K962" i="1"/>
  <c r="K963" i="1"/>
  <c r="K964" i="1"/>
  <c r="K965" i="1"/>
  <c r="K966" i="1"/>
  <c r="K967" i="1"/>
  <c r="K968" i="1"/>
  <c r="K969" i="1"/>
  <c r="K970" i="1"/>
  <c r="K971" i="1"/>
  <c r="K972" i="1"/>
  <c r="K974" i="1"/>
  <c r="K975" i="1"/>
  <c r="K976" i="1"/>
  <c r="K977" i="1"/>
  <c r="K978" i="1"/>
  <c r="K979" i="1"/>
  <c r="K980" i="1"/>
  <c r="K981" i="1"/>
  <c r="K982" i="1"/>
  <c r="K983" i="1"/>
  <c r="K984" i="1"/>
  <c r="K985" i="1"/>
  <c r="K986" i="1"/>
  <c r="K987" i="1"/>
  <c r="K988" i="1"/>
  <c r="K989" i="1"/>
  <c r="K990" i="1"/>
  <c r="K991" i="1"/>
  <c r="K992" i="1"/>
  <c r="K993" i="1"/>
  <c r="K994" i="1"/>
  <c r="K995" i="1"/>
  <c r="K996" i="1"/>
  <c r="K997" i="1"/>
  <c r="K998" i="1"/>
  <c r="K999" i="1"/>
  <c r="K1000" i="1"/>
  <c r="K1001" i="1"/>
  <c r="K1002" i="1"/>
  <c r="K1003" i="1"/>
  <c r="K1004" i="1"/>
  <c r="K1005" i="1"/>
  <c r="K1006" i="1"/>
  <c r="K1007" i="1"/>
  <c r="K1008" i="1"/>
  <c r="K1010" i="1"/>
  <c r="K1011" i="1"/>
  <c r="K1012" i="1"/>
  <c r="K1013" i="1"/>
  <c r="K1014" i="1"/>
  <c r="K1015" i="1"/>
  <c r="K1016" i="1"/>
  <c r="K1017" i="1"/>
  <c r="K1018" i="1"/>
  <c r="K1019" i="1"/>
  <c r="K1020" i="1"/>
  <c r="K1021" i="1"/>
  <c r="K1022" i="1"/>
  <c r="K1023" i="1"/>
  <c r="K1024" i="1"/>
  <c r="K1025" i="1"/>
  <c r="K1026" i="1"/>
  <c r="K1027" i="1"/>
  <c r="K1028" i="1"/>
  <c r="K1029" i="1"/>
  <c r="K1030" i="1"/>
  <c r="K1031" i="1"/>
  <c r="K1032" i="1"/>
  <c r="K1033" i="1"/>
  <c r="K1034" i="1"/>
  <c r="K1035" i="1"/>
  <c r="K1036" i="1"/>
  <c r="K1037" i="1"/>
  <c r="K1038" i="1"/>
  <c r="K1039" i="1"/>
  <c r="K1040" i="1"/>
  <c r="K1041" i="1"/>
  <c r="K1042" i="1"/>
  <c r="K1043" i="1"/>
  <c r="K1044" i="1"/>
  <c r="K1046" i="1"/>
  <c r="K1047" i="1"/>
  <c r="K1048" i="1"/>
  <c r="K1049" i="1"/>
  <c r="K1050" i="1"/>
  <c r="K1051" i="1"/>
  <c r="K1052" i="1"/>
  <c r="K1053" i="1"/>
  <c r="K1054" i="1"/>
  <c r="K1055" i="1"/>
  <c r="K1056" i="1"/>
  <c r="K1057" i="1"/>
  <c r="K1058" i="1"/>
  <c r="K1059" i="1"/>
  <c r="K1060" i="1"/>
  <c r="K1061" i="1"/>
  <c r="K1062" i="1"/>
  <c r="K1063" i="1"/>
  <c r="K1064" i="1"/>
  <c r="K1065" i="1"/>
  <c r="K1066" i="1"/>
  <c r="K1067" i="1"/>
  <c r="K1068" i="1"/>
  <c r="K1069" i="1"/>
  <c r="K1070" i="1"/>
  <c r="K1071" i="1"/>
  <c r="K1072" i="1"/>
  <c r="K1073" i="1"/>
  <c r="K1074" i="1"/>
  <c r="K1075" i="1"/>
  <c r="K1076" i="1"/>
  <c r="K1077" i="1"/>
  <c r="K1078" i="1"/>
  <c r="K1079" i="1"/>
  <c r="K1080" i="1"/>
  <c r="K1082" i="1"/>
  <c r="K1083" i="1"/>
  <c r="K1084" i="1"/>
  <c r="K1085" i="1"/>
  <c r="K1086" i="1"/>
  <c r="K1087" i="1"/>
  <c r="K1088" i="1"/>
  <c r="K1089" i="1"/>
  <c r="K1090" i="1"/>
  <c r="K1091" i="1"/>
  <c r="K1092" i="1"/>
  <c r="K1093" i="1"/>
  <c r="K1094" i="1"/>
  <c r="K1095" i="1"/>
  <c r="K1096" i="1"/>
  <c r="K1097" i="1"/>
  <c r="K1098" i="1"/>
  <c r="K1099" i="1"/>
  <c r="K1100" i="1"/>
  <c r="K1101" i="1"/>
  <c r="K1102" i="1"/>
  <c r="K1103" i="1"/>
  <c r="K1104" i="1"/>
  <c r="K1105" i="1"/>
  <c r="K1106" i="1"/>
  <c r="K1107" i="1"/>
  <c r="K1108" i="1"/>
  <c r="K1109" i="1"/>
  <c r="K1110" i="1"/>
  <c r="K1111" i="1"/>
  <c r="K1112" i="1"/>
  <c r="K1113" i="1"/>
  <c r="K1114" i="1"/>
  <c r="K1115" i="1"/>
  <c r="K1116" i="1"/>
  <c r="K1118" i="1"/>
  <c r="K1119" i="1"/>
  <c r="K1120" i="1"/>
  <c r="K1121" i="1"/>
  <c r="K1122" i="1"/>
  <c r="K1123" i="1"/>
  <c r="K1124" i="1"/>
  <c r="K1125" i="1"/>
  <c r="K1126" i="1"/>
  <c r="K1127" i="1"/>
  <c r="K1128" i="1"/>
  <c r="K1129" i="1"/>
  <c r="K1130" i="1"/>
  <c r="K1131" i="1"/>
  <c r="K1132" i="1"/>
  <c r="K1133" i="1"/>
  <c r="K1134" i="1"/>
  <c r="K1135" i="1"/>
  <c r="K1136" i="1"/>
  <c r="K1137" i="1"/>
  <c r="K1138" i="1"/>
  <c r="K1139" i="1"/>
  <c r="K1140" i="1"/>
  <c r="K1141" i="1"/>
  <c r="K1142" i="1"/>
  <c r="K1143" i="1"/>
  <c r="K1144" i="1"/>
  <c r="K1145" i="1"/>
  <c r="K1146" i="1"/>
  <c r="K1147" i="1"/>
  <c r="K1148" i="1"/>
  <c r="K1149" i="1"/>
  <c r="K1150" i="1"/>
  <c r="K1151" i="1"/>
  <c r="K1152" i="1"/>
  <c r="K1154" i="1"/>
  <c r="K1155" i="1"/>
  <c r="K1156" i="1"/>
  <c r="K1157" i="1"/>
  <c r="K1158" i="1"/>
  <c r="K1159" i="1"/>
  <c r="K1160" i="1"/>
  <c r="K1161" i="1"/>
  <c r="K1162" i="1"/>
  <c r="K1163" i="1"/>
  <c r="K1164" i="1"/>
  <c r="K1165" i="1"/>
  <c r="K1166" i="1"/>
  <c r="K1167" i="1"/>
  <c r="K1168" i="1"/>
  <c r="K1169" i="1"/>
  <c r="K1170" i="1"/>
  <c r="K1171" i="1"/>
  <c r="K1172" i="1"/>
  <c r="K1173" i="1"/>
  <c r="K1174" i="1"/>
  <c r="K1175" i="1"/>
  <c r="K1176" i="1"/>
  <c r="K1177" i="1"/>
  <c r="K1178" i="1"/>
  <c r="K1179" i="1"/>
  <c r="K1180" i="1"/>
  <c r="K1181" i="1"/>
  <c r="K1182" i="1"/>
  <c r="K1183" i="1"/>
  <c r="K1184" i="1"/>
  <c r="K1185" i="1"/>
  <c r="K1186" i="1"/>
  <c r="K1187" i="1"/>
  <c r="K1188" i="1"/>
  <c r="K1190" i="1"/>
  <c r="K1191" i="1"/>
  <c r="K1192" i="1"/>
  <c r="K1193" i="1"/>
  <c r="K1194" i="1"/>
  <c r="K1195" i="1"/>
  <c r="K1196" i="1"/>
  <c r="K1197" i="1"/>
  <c r="K1198" i="1"/>
  <c r="K1199" i="1"/>
  <c r="K1200" i="1"/>
  <c r="K1201" i="1"/>
  <c r="K1202" i="1"/>
  <c r="K1203" i="1"/>
  <c r="K1204" i="1"/>
  <c r="K1205" i="1"/>
  <c r="K1206" i="1"/>
  <c r="K1207" i="1"/>
  <c r="K1208" i="1"/>
  <c r="K1209" i="1"/>
  <c r="K1210" i="1"/>
  <c r="K1211" i="1"/>
  <c r="K1212" i="1"/>
  <c r="K1213" i="1"/>
  <c r="K1214" i="1"/>
  <c r="K1215" i="1"/>
  <c r="K1216" i="1"/>
  <c r="K1217" i="1"/>
  <c r="K1218" i="1"/>
  <c r="K1219" i="1"/>
  <c r="K1220" i="1"/>
  <c r="K1221" i="1"/>
  <c r="K1222" i="1"/>
  <c r="K1223" i="1"/>
  <c r="K1224" i="1"/>
  <c r="K1226" i="1"/>
  <c r="K1227" i="1"/>
  <c r="K1228" i="1"/>
  <c r="K1229" i="1"/>
  <c r="K1230" i="1"/>
  <c r="K1231" i="1"/>
  <c r="K1232" i="1"/>
  <c r="K1233" i="1"/>
  <c r="K1234" i="1"/>
  <c r="K1235" i="1"/>
  <c r="K1236" i="1"/>
  <c r="K1237" i="1"/>
  <c r="K1238" i="1"/>
  <c r="K1239" i="1"/>
  <c r="K1240" i="1"/>
  <c r="K1241" i="1"/>
  <c r="K1242" i="1"/>
  <c r="K1243" i="1"/>
  <c r="K1244" i="1"/>
  <c r="K1245" i="1"/>
  <c r="K1246" i="1"/>
  <c r="K1247" i="1"/>
  <c r="K1248" i="1"/>
  <c r="K1249" i="1"/>
  <c r="K1250" i="1"/>
  <c r="K1251" i="1"/>
  <c r="K1252" i="1"/>
  <c r="K1253" i="1"/>
  <c r="K1254" i="1"/>
  <c r="K1255" i="1"/>
  <c r="K1256" i="1"/>
  <c r="K1257" i="1"/>
  <c r="K1258" i="1"/>
  <c r="K1259" i="1"/>
  <c r="K1260" i="1"/>
  <c r="K1262" i="1"/>
  <c r="K1263" i="1"/>
  <c r="K1264" i="1"/>
  <c r="K1265" i="1"/>
  <c r="K1266" i="1"/>
  <c r="K1267" i="1"/>
  <c r="K1268" i="1"/>
  <c r="K1269" i="1"/>
  <c r="K1270" i="1"/>
  <c r="K1271" i="1"/>
  <c r="K1272" i="1"/>
  <c r="K1273" i="1"/>
  <c r="K1274" i="1"/>
  <c r="K1275" i="1"/>
  <c r="K1276" i="1"/>
  <c r="K1277" i="1"/>
  <c r="K1278" i="1"/>
  <c r="K1279" i="1"/>
  <c r="K1280" i="1"/>
  <c r="K1281" i="1"/>
  <c r="K1282" i="1"/>
  <c r="K1283" i="1"/>
  <c r="K1284" i="1"/>
  <c r="K1285" i="1"/>
  <c r="K1286" i="1"/>
  <c r="K1287" i="1"/>
  <c r="K1288" i="1"/>
  <c r="K1289" i="1"/>
  <c r="K1290" i="1"/>
  <c r="K1291" i="1"/>
  <c r="K1292" i="1"/>
  <c r="K1293" i="1"/>
  <c r="K1294" i="1"/>
  <c r="K1295" i="1"/>
  <c r="K1296" i="1"/>
  <c r="K1298" i="1"/>
  <c r="K1299" i="1"/>
  <c r="K1300" i="1"/>
  <c r="K1301" i="1"/>
  <c r="K1302" i="1"/>
  <c r="K1303" i="1"/>
  <c r="K1304" i="1"/>
  <c r="K1305" i="1"/>
  <c r="K1306" i="1"/>
  <c r="K1307" i="1"/>
  <c r="K1308" i="1"/>
  <c r="K1309" i="1"/>
  <c r="K1310" i="1"/>
  <c r="K1311" i="1"/>
  <c r="K1312" i="1"/>
  <c r="K1313" i="1"/>
  <c r="K1314" i="1"/>
  <c r="K1315" i="1"/>
  <c r="K1316" i="1"/>
  <c r="K1317" i="1"/>
  <c r="K1318" i="1"/>
  <c r="K1319" i="1"/>
  <c r="K1320" i="1"/>
  <c r="K1321" i="1"/>
  <c r="K1322" i="1"/>
  <c r="K1323" i="1"/>
  <c r="K1324" i="1"/>
  <c r="K1325" i="1"/>
  <c r="K1326" i="1"/>
  <c r="K1327" i="1"/>
  <c r="K1328" i="1"/>
  <c r="K1329" i="1"/>
  <c r="K1330" i="1"/>
  <c r="K1331" i="1"/>
  <c r="K1332" i="1"/>
  <c r="K1334" i="1"/>
  <c r="K1335" i="1"/>
  <c r="K1336" i="1"/>
  <c r="K1337" i="1"/>
  <c r="K1338" i="1"/>
  <c r="K1339" i="1"/>
  <c r="K1340" i="1"/>
  <c r="K1341" i="1"/>
  <c r="K1342" i="1"/>
  <c r="K1343" i="1"/>
  <c r="K1344" i="1"/>
  <c r="K1345" i="1"/>
  <c r="K1346" i="1"/>
  <c r="K1347" i="1"/>
  <c r="K1348" i="1"/>
  <c r="K1349" i="1"/>
  <c r="K1350" i="1"/>
  <c r="K1351" i="1"/>
  <c r="K1352" i="1"/>
  <c r="K1353" i="1"/>
  <c r="K1354" i="1"/>
  <c r="K1355" i="1"/>
  <c r="K1356" i="1"/>
  <c r="K1357" i="1"/>
  <c r="K1358" i="1"/>
  <c r="K1359" i="1"/>
  <c r="K1360" i="1"/>
  <c r="K1361" i="1"/>
  <c r="K1362" i="1"/>
  <c r="K1363" i="1"/>
  <c r="K1364" i="1"/>
  <c r="K1365" i="1"/>
  <c r="K1366" i="1"/>
  <c r="K1367" i="1"/>
  <c r="K1368" i="1"/>
  <c r="K1370" i="1"/>
  <c r="K1371" i="1"/>
  <c r="K1372" i="1"/>
  <c r="K1373" i="1"/>
  <c r="K1374" i="1"/>
  <c r="K1375" i="1"/>
  <c r="K1376" i="1"/>
  <c r="K1377" i="1"/>
  <c r="K1378" i="1"/>
  <c r="K1379" i="1"/>
  <c r="K1380" i="1"/>
  <c r="K1381" i="1"/>
  <c r="K1382" i="1"/>
  <c r="K1383" i="1"/>
  <c r="K1384" i="1"/>
  <c r="K1385" i="1"/>
  <c r="K1386" i="1"/>
  <c r="K1387" i="1"/>
  <c r="K1388" i="1"/>
  <c r="K1389" i="1"/>
  <c r="K1390" i="1"/>
  <c r="K1391" i="1"/>
  <c r="K1392" i="1"/>
  <c r="K1393" i="1"/>
  <c r="K1394" i="1"/>
  <c r="K1395" i="1"/>
  <c r="K1396" i="1"/>
  <c r="K1397" i="1"/>
  <c r="K1398" i="1"/>
  <c r="K1399" i="1"/>
  <c r="K1400" i="1"/>
  <c r="K1401" i="1"/>
  <c r="K1402" i="1"/>
  <c r="K1403" i="1"/>
  <c r="K1404" i="1"/>
  <c r="K1406" i="1"/>
  <c r="K1407" i="1"/>
  <c r="K1408" i="1"/>
  <c r="K1409" i="1"/>
  <c r="K1410" i="1"/>
  <c r="K1411" i="1"/>
  <c r="K1412" i="1"/>
  <c r="K1413" i="1"/>
  <c r="K1414" i="1"/>
  <c r="K1415" i="1"/>
  <c r="K1416" i="1"/>
  <c r="K1417" i="1"/>
  <c r="K1418" i="1"/>
  <c r="K1419" i="1"/>
  <c r="K1420" i="1"/>
  <c r="K1421" i="1"/>
  <c r="K1422" i="1"/>
  <c r="K1423" i="1"/>
  <c r="K1424" i="1"/>
  <c r="K1425" i="1"/>
  <c r="K1426" i="1"/>
  <c r="K1427" i="1"/>
  <c r="K1428" i="1"/>
  <c r="K1429" i="1"/>
  <c r="K1430" i="1"/>
  <c r="K1431" i="1"/>
  <c r="K1432" i="1"/>
  <c r="K1433" i="1"/>
  <c r="K1434" i="1"/>
  <c r="K1435" i="1"/>
  <c r="K1436" i="1"/>
  <c r="K1437" i="1"/>
  <c r="K1438" i="1"/>
  <c r="K1439" i="1"/>
  <c r="K1440" i="1"/>
  <c r="K1442" i="1"/>
  <c r="K1443" i="1"/>
  <c r="K1444" i="1"/>
  <c r="K1445" i="1"/>
  <c r="K1446" i="1"/>
  <c r="K1447" i="1"/>
  <c r="K1448" i="1"/>
  <c r="K1449" i="1"/>
  <c r="K1450" i="1"/>
  <c r="K1451" i="1"/>
  <c r="K1452" i="1"/>
  <c r="K1453" i="1"/>
  <c r="K1454" i="1"/>
  <c r="K1455" i="1"/>
  <c r="K1456" i="1"/>
  <c r="K1457" i="1"/>
  <c r="K1458" i="1"/>
  <c r="K1459" i="1"/>
  <c r="K1460" i="1"/>
  <c r="K1461" i="1"/>
  <c r="K1462" i="1"/>
  <c r="K1463" i="1"/>
  <c r="K1464" i="1"/>
  <c r="K1465" i="1"/>
  <c r="K1466" i="1"/>
  <c r="K1467" i="1"/>
  <c r="K1468" i="1"/>
  <c r="K1469" i="1"/>
  <c r="K1470" i="1"/>
  <c r="K1471" i="1"/>
  <c r="K1472" i="1"/>
  <c r="K1473" i="1"/>
  <c r="K1474" i="1"/>
  <c r="K1475" i="1"/>
  <c r="K1476" i="1"/>
  <c r="K1478" i="1"/>
  <c r="K1479" i="1"/>
  <c r="K1480" i="1"/>
  <c r="K1481" i="1"/>
  <c r="K1482" i="1"/>
  <c r="K1483" i="1"/>
  <c r="K1484" i="1"/>
  <c r="K1485" i="1"/>
  <c r="K1486" i="1"/>
  <c r="K1487" i="1"/>
  <c r="K1488" i="1"/>
  <c r="K1489" i="1"/>
  <c r="K1490" i="1"/>
  <c r="K1491" i="1"/>
  <c r="K1492" i="1"/>
  <c r="K1493" i="1"/>
  <c r="K1494" i="1"/>
  <c r="K1495" i="1"/>
  <c r="K1496" i="1"/>
  <c r="K1497" i="1"/>
  <c r="K1498" i="1"/>
  <c r="K1499" i="1"/>
  <c r="K1500" i="1"/>
  <c r="K1501" i="1"/>
  <c r="K1502" i="1"/>
  <c r="K1503" i="1"/>
  <c r="K1504" i="1"/>
  <c r="K1505" i="1"/>
  <c r="K1506" i="1"/>
  <c r="K1507" i="1"/>
  <c r="K1508" i="1"/>
  <c r="K1509" i="1"/>
  <c r="K1510" i="1"/>
  <c r="K1511" i="1"/>
  <c r="K1512" i="1"/>
  <c r="K1514" i="1"/>
  <c r="K1515" i="1"/>
  <c r="K1516" i="1"/>
  <c r="K1517" i="1"/>
  <c r="K1518" i="1"/>
  <c r="K1519" i="1"/>
  <c r="K1520" i="1"/>
  <c r="K1521" i="1"/>
  <c r="K1522" i="1"/>
  <c r="K1523" i="1"/>
  <c r="K1524" i="1"/>
  <c r="K1525" i="1"/>
  <c r="K1526" i="1"/>
  <c r="K1527" i="1"/>
  <c r="K1528" i="1"/>
  <c r="K1529" i="1"/>
  <c r="K1530" i="1"/>
  <c r="K1531" i="1"/>
  <c r="K1532" i="1"/>
  <c r="K1533" i="1"/>
  <c r="K1534" i="1"/>
  <c r="K1535" i="1"/>
  <c r="K1536" i="1"/>
  <c r="K1537" i="1"/>
  <c r="K1538" i="1"/>
  <c r="K1539" i="1"/>
  <c r="K1540" i="1"/>
  <c r="K1541" i="1"/>
  <c r="K1542" i="1"/>
  <c r="K1543" i="1"/>
  <c r="K1544" i="1"/>
  <c r="K1545" i="1"/>
  <c r="K1546" i="1"/>
  <c r="K1547" i="1"/>
  <c r="K1548" i="1"/>
  <c r="K1550" i="1"/>
  <c r="K1551" i="1"/>
  <c r="K1552" i="1"/>
  <c r="K1553" i="1"/>
  <c r="K1554" i="1"/>
  <c r="K1555" i="1"/>
  <c r="K1556" i="1"/>
  <c r="K1557" i="1"/>
  <c r="K1558" i="1"/>
  <c r="K1559" i="1"/>
  <c r="K1560" i="1"/>
  <c r="K1561" i="1"/>
  <c r="K1562" i="1"/>
  <c r="K1563" i="1"/>
  <c r="K1564" i="1"/>
  <c r="K1565" i="1"/>
  <c r="K1566" i="1"/>
  <c r="K1567" i="1"/>
  <c r="K1568" i="1"/>
  <c r="K1569" i="1"/>
  <c r="K1570" i="1"/>
  <c r="K1571" i="1"/>
  <c r="K1572" i="1"/>
  <c r="K1573" i="1"/>
  <c r="K1574" i="1"/>
  <c r="K1575" i="1"/>
  <c r="K1576" i="1"/>
  <c r="K1577" i="1"/>
  <c r="K1578" i="1"/>
  <c r="K1579" i="1"/>
  <c r="K1580" i="1"/>
  <c r="K1581" i="1"/>
  <c r="K1582" i="1"/>
  <c r="K1583" i="1"/>
  <c r="K1584" i="1"/>
  <c r="K1586" i="1"/>
  <c r="K1587" i="1"/>
  <c r="K1588" i="1"/>
  <c r="K1589" i="1"/>
  <c r="K1590" i="1"/>
  <c r="K1591" i="1"/>
  <c r="K1592" i="1"/>
  <c r="K1593" i="1"/>
  <c r="K1594" i="1"/>
  <c r="K1595" i="1"/>
  <c r="K1596" i="1"/>
  <c r="K1597" i="1"/>
  <c r="K1598" i="1"/>
  <c r="K1599" i="1"/>
  <c r="K1600" i="1"/>
  <c r="K1601" i="1"/>
  <c r="K1602" i="1"/>
  <c r="K1603" i="1"/>
  <c r="K1604" i="1"/>
  <c r="K1605" i="1"/>
  <c r="K1606" i="1"/>
  <c r="K1607" i="1"/>
  <c r="K1608" i="1"/>
  <c r="K1609" i="1"/>
  <c r="K1610" i="1"/>
  <c r="K1611" i="1"/>
  <c r="K1612" i="1"/>
  <c r="K1613" i="1"/>
  <c r="K1614" i="1"/>
  <c r="K1615" i="1"/>
  <c r="K1616" i="1"/>
  <c r="K1617" i="1"/>
  <c r="K1618" i="1"/>
  <c r="K1619" i="1"/>
  <c r="K1620" i="1"/>
  <c r="K1622" i="1"/>
  <c r="K1623" i="1"/>
  <c r="K1624" i="1"/>
  <c r="K1625" i="1"/>
  <c r="K1626" i="1"/>
  <c r="K1627" i="1"/>
  <c r="K1628" i="1"/>
  <c r="K1629" i="1"/>
  <c r="K1630" i="1"/>
  <c r="K1631" i="1"/>
  <c r="K1632" i="1"/>
  <c r="K1633" i="1"/>
  <c r="K1634" i="1"/>
  <c r="K1635" i="1"/>
  <c r="K1636" i="1"/>
  <c r="K1637" i="1"/>
  <c r="K1638" i="1"/>
  <c r="K1639" i="1"/>
  <c r="K1640" i="1"/>
  <c r="K1641" i="1"/>
  <c r="K1642" i="1"/>
  <c r="K1643" i="1"/>
  <c r="K1644" i="1"/>
  <c r="K1645" i="1"/>
  <c r="K1646" i="1"/>
  <c r="K1647" i="1"/>
  <c r="K1648" i="1"/>
  <c r="K1649" i="1"/>
  <c r="K1650" i="1"/>
  <c r="K1651" i="1"/>
  <c r="K1652" i="1"/>
  <c r="K1653" i="1"/>
  <c r="K1654" i="1"/>
  <c r="K1655" i="1"/>
  <c r="K1656" i="1"/>
  <c r="K1658" i="1"/>
  <c r="K1659" i="1"/>
  <c r="K1660" i="1"/>
  <c r="K1661" i="1"/>
  <c r="K1662" i="1"/>
  <c r="K1663" i="1"/>
  <c r="K1664" i="1"/>
  <c r="K1665" i="1"/>
  <c r="K1666" i="1"/>
  <c r="K1667" i="1"/>
  <c r="K1668" i="1"/>
  <c r="K1669" i="1"/>
  <c r="K1670" i="1"/>
  <c r="K1671" i="1"/>
  <c r="K1672" i="1"/>
  <c r="K1673" i="1"/>
  <c r="K1674" i="1"/>
  <c r="K1675" i="1"/>
  <c r="K1676" i="1"/>
  <c r="K1677" i="1"/>
  <c r="K1678" i="1"/>
  <c r="K1679" i="1"/>
  <c r="K1680" i="1"/>
  <c r="K1681" i="1"/>
  <c r="K1682" i="1"/>
  <c r="K1683" i="1"/>
  <c r="K1684" i="1"/>
  <c r="K1685" i="1"/>
  <c r="K1686" i="1"/>
  <c r="K1687" i="1"/>
  <c r="K1688" i="1"/>
  <c r="K1689" i="1"/>
  <c r="K1690" i="1"/>
  <c r="K1691" i="1"/>
  <c r="K1692" i="1"/>
  <c r="K1694" i="1"/>
  <c r="K1695" i="1"/>
  <c r="K1696" i="1"/>
  <c r="K1697" i="1"/>
  <c r="K1698" i="1"/>
  <c r="K1699" i="1"/>
  <c r="K1700" i="1"/>
  <c r="K1701" i="1"/>
  <c r="K1702" i="1"/>
  <c r="K1703" i="1"/>
  <c r="K1704" i="1"/>
  <c r="K1705" i="1"/>
  <c r="K1706" i="1"/>
  <c r="K1707" i="1"/>
  <c r="K1708" i="1"/>
  <c r="K1709" i="1"/>
  <c r="K1710" i="1"/>
  <c r="K1711" i="1"/>
  <c r="K1712" i="1"/>
  <c r="K1713" i="1"/>
  <c r="K1714" i="1"/>
  <c r="K1715" i="1"/>
  <c r="K1716" i="1"/>
  <c r="K1717" i="1"/>
  <c r="K1718" i="1"/>
  <c r="K1719" i="1"/>
  <c r="K1720" i="1"/>
  <c r="K1721" i="1"/>
  <c r="K1722" i="1"/>
  <c r="K1723" i="1"/>
  <c r="K1724" i="1"/>
  <c r="K1725" i="1"/>
  <c r="K1726" i="1"/>
  <c r="K1727" i="1"/>
  <c r="K1728" i="1"/>
  <c r="K1730" i="1"/>
  <c r="K1731" i="1"/>
  <c r="K1732" i="1"/>
  <c r="K1733" i="1"/>
  <c r="K1734" i="1"/>
  <c r="K1735" i="1"/>
  <c r="K1736" i="1"/>
  <c r="K1737" i="1"/>
  <c r="K1738" i="1"/>
  <c r="K1739" i="1"/>
  <c r="K1740" i="1"/>
  <c r="K1741" i="1"/>
  <c r="K1742" i="1"/>
  <c r="K1743" i="1"/>
  <c r="K1744" i="1"/>
  <c r="K1745" i="1"/>
  <c r="K1746" i="1"/>
  <c r="K1747" i="1"/>
  <c r="K1748" i="1"/>
  <c r="K1749" i="1"/>
  <c r="K1750" i="1"/>
  <c r="K1751" i="1"/>
  <c r="K1752" i="1"/>
  <c r="K1753" i="1"/>
  <c r="K1754" i="1"/>
  <c r="K1755" i="1"/>
  <c r="K1756" i="1"/>
  <c r="K1757" i="1"/>
  <c r="K1758" i="1"/>
  <c r="K1759" i="1"/>
  <c r="K1760" i="1"/>
  <c r="K1761" i="1"/>
  <c r="K1762" i="1"/>
  <c r="K1763" i="1"/>
  <c r="K1764" i="1"/>
  <c r="K1766" i="1"/>
  <c r="K1767" i="1"/>
  <c r="K1768" i="1"/>
  <c r="K1769" i="1"/>
  <c r="K1770" i="1"/>
  <c r="K1771" i="1"/>
  <c r="K1772" i="1"/>
  <c r="K1773" i="1"/>
  <c r="K1774" i="1"/>
  <c r="K1775" i="1"/>
  <c r="K1776" i="1"/>
  <c r="K1777" i="1"/>
  <c r="K1778" i="1"/>
  <c r="K1779" i="1"/>
  <c r="K1780" i="1"/>
  <c r="K1781" i="1"/>
  <c r="K1782" i="1"/>
  <c r="K1783" i="1"/>
  <c r="K1784" i="1"/>
  <c r="K1785" i="1"/>
  <c r="K1786" i="1"/>
  <c r="K1787" i="1"/>
  <c r="K1788" i="1"/>
  <c r="K1789" i="1"/>
  <c r="K1790" i="1"/>
  <c r="K1791" i="1"/>
  <c r="K1792" i="1"/>
  <c r="K1793" i="1"/>
  <c r="K1794" i="1"/>
  <c r="K1795" i="1"/>
  <c r="K1796" i="1"/>
  <c r="K1797" i="1"/>
  <c r="K1798" i="1"/>
  <c r="K1799" i="1"/>
  <c r="K1800" i="1"/>
  <c r="K1802" i="1"/>
  <c r="K1803" i="1"/>
  <c r="K1804" i="1"/>
  <c r="K1805" i="1"/>
  <c r="K1806" i="1"/>
  <c r="K1807" i="1"/>
  <c r="K1808" i="1"/>
  <c r="K1809" i="1"/>
  <c r="K1810" i="1"/>
  <c r="K1811" i="1"/>
  <c r="K1812" i="1"/>
  <c r="K1813" i="1"/>
  <c r="K1814" i="1"/>
  <c r="K1815" i="1"/>
  <c r="K1816" i="1"/>
  <c r="K1817" i="1"/>
  <c r="K1818" i="1"/>
  <c r="K1819" i="1"/>
  <c r="K1820" i="1"/>
  <c r="K1821" i="1"/>
  <c r="K1822" i="1"/>
  <c r="K1823" i="1"/>
  <c r="K1824" i="1"/>
  <c r="K1825" i="1"/>
  <c r="K1826" i="1"/>
  <c r="K1827" i="1"/>
  <c r="K1828" i="1"/>
  <c r="K1829" i="1"/>
  <c r="K1830" i="1"/>
  <c r="K1831" i="1"/>
  <c r="K1832" i="1"/>
  <c r="K1833" i="1"/>
  <c r="K1834" i="1"/>
  <c r="K1835" i="1"/>
  <c r="K1836" i="1"/>
  <c r="K1838" i="1"/>
  <c r="K1839" i="1"/>
  <c r="K1840" i="1"/>
  <c r="K1841" i="1"/>
  <c r="K1842" i="1"/>
  <c r="K1843" i="1"/>
  <c r="K1844" i="1"/>
  <c r="K1845" i="1"/>
  <c r="K1846" i="1"/>
  <c r="K1847" i="1"/>
  <c r="K1848" i="1"/>
  <c r="K1849" i="1"/>
  <c r="K1850" i="1"/>
  <c r="K1851" i="1"/>
  <c r="K1852" i="1"/>
  <c r="K1853" i="1"/>
  <c r="K1854" i="1"/>
  <c r="K1855" i="1"/>
  <c r="K1856" i="1"/>
  <c r="K1857" i="1"/>
  <c r="K1858" i="1"/>
  <c r="K1859" i="1"/>
  <c r="K1860" i="1"/>
  <c r="K1861" i="1"/>
  <c r="K1862" i="1"/>
  <c r="K1863" i="1"/>
  <c r="K1864" i="1"/>
  <c r="K1865" i="1"/>
  <c r="K1866" i="1"/>
  <c r="K1867" i="1"/>
  <c r="K1868" i="1"/>
  <c r="K1869" i="1"/>
  <c r="K1870" i="1"/>
  <c r="K1871" i="1"/>
  <c r="K1872" i="1"/>
  <c r="K1874" i="1"/>
  <c r="K1875" i="1"/>
  <c r="K1876" i="1"/>
  <c r="K1877" i="1"/>
  <c r="K1878" i="1"/>
  <c r="K1879" i="1"/>
  <c r="K1880" i="1"/>
  <c r="K1881" i="1"/>
  <c r="K1882" i="1"/>
  <c r="K1883" i="1"/>
  <c r="K1884" i="1"/>
  <c r="K1885" i="1"/>
  <c r="K1886" i="1"/>
  <c r="K1887" i="1"/>
  <c r="K1888" i="1"/>
  <c r="K1889" i="1"/>
  <c r="K1890" i="1"/>
  <c r="K1891" i="1"/>
  <c r="K1892" i="1"/>
  <c r="K1893" i="1"/>
  <c r="K1894" i="1"/>
  <c r="K1895" i="1"/>
  <c r="K1896" i="1"/>
  <c r="K1897" i="1"/>
  <c r="K1898" i="1"/>
  <c r="K1899" i="1"/>
  <c r="K1900" i="1"/>
  <c r="K1901" i="1"/>
  <c r="K1902" i="1"/>
  <c r="K1903" i="1"/>
  <c r="K1904" i="1"/>
  <c r="K1905" i="1"/>
  <c r="K1906" i="1"/>
  <c r="K1907" i="1"/>
  <c r="K1908" i="1"/>
  <c r="K2" i="1"/>
  <c r="H3" i="1" l="1"/>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2" i="1"/>
  <c r="H323" i="1"/>
  <c r="H324" i="1"/>
  <c r="H326" i="1"/>
  <c r="H327" i="1"/>
  <c r="H328"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60"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8" i="1"/>
  <c r="H399" i="1"/>
  <c r="H400" i="1"/>
  <c r="H401" i="1"/>
  <c r="H402" i="1"/>
  <c r="H403" i="1"/>
  <c r="H404" i="1"/>
  <c r="H405" i="1"/>
  <c r="H406" i="1"/>
  <c r="H407" i="1"/>
  <c r="H408" i="1"/>
  <c r="H409" i="1"/>
  <c r="H410" i="1"/>
  <c r="H411" i="1"/>
  <c r="H412" i="1"/>
  <c r="H413" i="1"/>
  <c r="H414" i="1"/>
  <c r="H415" i="1"/>
  <c r="H416" i="1"/>
  <c r="H417" i="1"/>
  <c r="H418" i="1"/>
  <c r="H419" i="1"/>
  <c r="H420" i="1"/>
  <c r="H421" i="1"/>
  <c r="H422" i="1"/>
  <c r="H423" i="1"/>
  <c r="H424" i="1"/>
  <c r="H425" i="1"/>
  <c r="H426" i="1"/>
  <c r="H427" i="1"/>
  <c r="H428" i="1"/>
  <c r="H429" i="1"/>
  <c r="H430" i="1"/>
  <c r="H431" i="1"/>
  <c r="H432"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6" i="1"/>
  <c r="H467" i="1"/>
  <c r="H468" i="1"/>
  <c r="H470" i="1"/>
  <c r="H471" i="1"/>
  <c r="H472" i="1"/>
  <c r="H473" i="1"/>
  <c r="H474" i="1"/>
  <c r="H475" i="1"/>
  <c r="H476"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6" i="1"/>
  <c r="H507" i="1"/>
  <c r="H508" i="1"/>
  <c r="H509" i="1"/>
  <c r="H510" i="1"/>
  <c r="H511" i="1"/>
  <c r="H512" i="1"/>
  <c r="H513" i="1"/>
  <c r="H514" i="1"/>
  <c r="H515" i="1"/>
  <c r="H516" i="1"/>
  <c r="H517" i="1"/>
  <c r="H518" i="1"/>
  <c r="H519" i="1"/>
  <c r="H520" i="1"/>
  <c r="H521" i="1"/>
  <c r="H522" i="1"/>
  <c r="H523" i="1"/>
  <c r="H524" i="1"/>
  <c r="H525" i="1"/>
  <c r="H526" i="1"/>
  <c r="H527" i="1"/>
  <c r="H528" i="1"/>
  <c r="H529" i="1"/>
  <c r="H530" i="1"/>
  <c r="H531" i="1"/>
  <c r="H532" i="1"/>
  <c r="H533" i="1"/>
  <c r="H534" i="1"/>
  <c r="H535" i="1"/>
  <c r="H536" i="1"/>
  <c r="H537" i="1"/>
  <c r="H538" i="1"/>
  <c r="H539" i="1"/>
  <c r="H540" i="1"/>
  <c r="H542" i="1"/>
  <c r="H543" i="1"/>
  <c r="H544" i="1"/>
  <c r="H545" i="1"/>
  <c r="H546" i="1"/>
  <c r="H547" i="1"/>
  <c r="H548" i="1"/>
  <c r="H549" i="1"/>
  <c r="H550" i="1"/>
  <c r="H551" i="1"/>
  <c r="H552" i="1"/>
  <c r="H553" i="1"/>
  <c r="H554" i="1"/>
  <c r="H555" i="1"/>
  <c r="H556" i="1"/>
  <c r="H557" i="1"/>
  <c r="H558" i="1"/>
  <c r="H559" i="1"/>
  <c r="H560" i="1"/>
  <c r="H561" i="1"/>
  <c r="H562" i="1"/>
  <c r="H563" i="1"/>
  <c r="H564" i="1"/>
  <c r="H565" i="1"/>
  <c r="H566" i="1"/>
  <c r="H567" i="1"/>
  <c r="H568" i="1"/>
  <c r="H569" i="1"/>
  <c r="H570" i="1"/>
  <c r="H571" i="1"/>
  <c r="H572" i="1"/>
  <c r="H573" i="1"/>
  <c r="H574" i="1"/>
  <c r="H575" i="1"/>
  <c r="H576" i="1"/>
  <c r="H578" i="1"/>
  <c r="H579" i="1"/>
  <c r="H580" i="1"/>
  <c r="H581" i="1"/>
  <c r="H582" i="1"/>
  <c r="H583" i="1"/>
  <c r="H584" i="1"/>
  <c r="H585" i="1"/>
  <c r="H586" i="1"/>
  <c r="H587" i="1"/>
  <c r="H588" i="1"/>
  <c r="H589" i="1"/>
  <c r="H590" i="1"/>
  <c r="H591" i="1"/>
  <c r="H592" i="1"/>
  <c r="H593" i="1"/>
  <c r="H594" i="1"/>
  <c r="H595" i="1"/>
  <c r="H596" i="1"/>
  <c r="H597" i="1"/>
  <c r="H598" i="1"/>
  <c r="H599" i="1"/>
  <c r="H600" i="1"/>
  <c r="H601" i="1"/>
  <c r="H602" i="1"/>
  <c r="H603" i="1"/>
  <c r="H604" i="1"/>
  <c r="H605" i="1"/>
  <c r="H606" i="1"/>
  <c r="H607" i="1"/>
  <c r="H608" i="1"/>
  <c r="H609" i="1"/>
  <c r="H610" i="1"/>
  <c r="H611" i="1"/>
  <c r="H612" i="1"/>
  <c r="H614" i="1"/>
  <c r="H615" i="1"/>
  <c r="H616" i="1"/>
  <c r="H617" i="1"/>
  <c r="H618" i="1"/>
  <c r="H619" i="1"/>
  <c r="H620" i="1"/>
  <c r="H621" i="1"/>
  <c r="H622" i="1"/>
  <c r="H623" i="1"/>
  <c r="H624" i="1"/>
  <c r="H625" i="1"/>
  <c r="H626" i="1"/>
  <c r="H627" i="1"/>
  <c r="H628" i="1"/>
  <c r="H629" i="1"/>
  <c r="H630" i="1"/>
  <c r="H631" i="1"/>
  <c r="H632" i="1"/>
  <c r="H633" i="1"/>
  <c r="H634" i="1"/>
  <c r="H635" i="1"/>
  <c r="H636" i="1"/>
  <c r="H637" i="1"/>
  <c r="H638" i="1"/>
  <c r="H639" i="1"/>
  <c r="H640" i="1"/>
  <c r="H641" i="1"/>
  <c r="H642" i="1"/>
  <c r="H643" i="1"/>
  <c r="H644" i="1"/>
  <c r="H645" i="1"/>
  <c r="H646" i="1"/>
  <c r="H647" i="1"/>
  <c r="H648"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4" i="1"/>
  <c r="H975" i="1"/>
  <c r="H976" i="1"/>
  <c r="H977" i="1"/>
  <c r="H978" i="1"/>
  <c r="H979" i="1"/>
  <c r="H980" i="1"/>
  <c r="H981" i="1"/>
  <c r="H982" i="1"/>
  <c r="H983" i="1"/>
  <c r="H984" i="1"/>
  <c r="H985" i="1"/>
  <c r="H986" i="1"/>
  <c r="H987" i="1"/>
  <c r="H988" i="1"/>
  <c r="H989" i="1"/>
  <c r="H990" i="1"/>
  <c r="H991" i="1"/>
  <c r="H992" i="1"/>
  <c r="H993" i="1"/>
  <c r="H994" i="1"/>
  <c r="H995" i="1"/>
  <c r="H996" i="1"/>
  <c r="H997" i="1"/>
  <c r="H998" i="1"/>
  <c r="H999" i="1"/>
  <c r="H1000" i="1"/>
  <c r="H1001" i="1"/>
  <c r="H1002" i="1"/>
  <c r="H1003" i="1"/>
  <c r="H1004" i="1"/>
  <c r="H1005" i="1"/>
  <c r="H1006" i="1"/>
  <c r="H1007" i="1"/>
  <c r="H1008" i="1"/>
  <c r="H1010" i="1"/>
  <c r="H1011" i="1"/>
  <c r="H1012" i="1"/>
  <c r="H1013" i="1"/>
  <c r="H1014" i="1"/>
  <c r="H1015" i="1"/>
  <c r="H1016" i="1"/>
  <c r="H1017" i="1"/>
  <c r="H1018" i="1"/>
  <c r="H1019" i="1"/>
  <c r="H1020" i="1"/>
  <c r="H1021" i="1"/>
  <c r="H1022" i="1"/>
  <c r="H1023" i="1"/>
  <c r="H1024" i="1"/>
  <c r="H1025" i="1"/>
  <c r="H1026" i="1"/>
  <c r="H1027" i="1"/>
  <c r="H1028" i="1"/>
  <c r="H1029" i="1"/>
  <c r="H1030" i="1"/>
  <c r="H1031" i="1"/>
  <c r="H1032" i="1"/>
  <c r="H1033" i="1"/>
  <c r="H1034" i="1"/>
  <c r="H1035" i="1"/>
  <c r="H1036" i="1"/>
  <c r="H1037" i="1"/>
  <c r="H1038" i="1"/>
  <c r="H1039" i="1"/>
  <c r="H1040" i="1"/>
  <c r="H1041" i="1"/>
  <c r="H1042" i="1"/>
  <c r="H1043" i="1"/>
  <c r="H1044" i="1"/>
  <c r="H1046" i="1"/>
  <c r="H1047" i="1"/>
  <c r="H1048" i="1"/>
  <c r="H1049" i="1"/>
  <c r="H1050" i="1"/>
  <c r="H1051" i="1"/>
  <c r="H1052" i="1"/>
  <c r="H1053" i="1"/>
  <c r="H1054" i="1"/>
  <c r="H1055" i="1"/>
  <c r="H1056" i="1"/>
  <c r="H1057" i="1"/>
  <c r="H1058" i="1"/>
  <c r="H1059" i="1"/>
  <c r="H1060" i="1"/>
  <c r="H1061" i="1"/>
  <c r="H1062" i="1"/>
  <c r="H1063" i="1"/>
  <c r="H1064" i="1"/>
  <c r="H1065" i="1"/>
  <c r="H1066" i="1"/>
  <c r="H1067" i="1"/>
  <c r="H1068" i="1"/>
  <c r="H1069" i="1"/>
  <c r="H1070" i="1"/>
  <c r="H1071" i="1"/>
  <c r="H1072" i="1"/>
  <c r="H1073" i="1"/>
  <c r="H1074" i="1"/>
  <c r="H1075" i="1"/>
  <c r="H1076" i="1"/>
  <c r="H1077" i="1"/>
  <c r="H1078" i="1"/>
  <c r="H1079" i="1"/>
  <c r="H1080" i="1"/>
  <c r="H1082" i="1"/>
  <c r="H1083" i="1"/>
  <c r="H1084" i="1"/>
  <c r="H1085" i="1"/>
  <c r="H1086" i="1"/>
  <c r="H1087" i="1"/>
  <c r="H1088" i="1"/>
  <c r="H1089" i="1"/>
  <c r="H1090" i="1"/>
  <c r="H1091" i="1"/>
  <c r="H1092" i="1"/>
  <c r="H1093" i="1"/>
  <c r="H1094" i="1"/>
  <c r="H1095" i="1"/>
  <c r="H1096" i="1"/>
  <c r="H1097" i="1"/>
  <c r="H1098" i="1"/>
  <c r="H1099" i="1"/>
  <c r="H1100" i="1"/>
  <c r="H1101" i="1"/>
  <c r="H1102" i="1"/>
  <c r="H1103" i="1"/>
  <c r="H1104" i="1"/>
  <c r="H1105" i="1"/>
  <c r="H1106" i="1"/>
  <c r="H1107" i="1"/>
  <c r="H1108" i="1"/>
  <c r="H1109" i="1"/>
  <c r="H1110" i="1"/>
  <c r="H1111" i="1"/>
  <c r="H1112" i="1"/>
  <c r="H1113" i="1"/>
  <c r="H1114" i="1"/>
  <c r="H1115" i="1"/>
  <c r="H1116" i="1"/>
  <c r="H1118" i="1"/>
  <c r="H1119" i="1"/>
  <c r="H1120" i="1"/>
  <c r="H1121" i="1"/>
  <c r="H1122" i="1"/>
  <c r="H1123" i="1"/>
  <c r="H1124" i="1"/>
  <c r="H1125" i="1"/>
  <c r="H1126" i="1"/>
  <c r="H1127" i="1"/>
  <c r="H1128" i="1"/>
  <c r="H1129" i="1"/>
  <c r="H1130" i="1"/>
  <c r="H1131" i="1"/>
  <c r="H1132" i="1"/>
  <c r="H1133" i="1"/>
  <c r="H1134" i="1"/>
  <c r="H1135" i="1"/>
  <c r="H1136" i="1"/>
  <c r="H1137" i="1"/>
  <c r="H1138" i="1"/>
  <c r="H1139" i="1"/>
  <c r="H1140" i="1"/>
  <c r="H1141" i="1"/>
  <c r="H1142" i="1"/>
  <c r="H1143" i="1"/>
  <c r="H1144" i="1"/>
  <c r="H1145" i="1"/>
  <c r="H1146" i="1"/>
  <c r="H1147" i="1"/>
  <c r="H1148" i="1"/>
  <c r="H1149" i="1"/>
  <c r="H1150" i="1"/>
  <c r="H1151" i="1"/>
  <c r="H1152" i="1"/>
  <c r="H1154" i="1"/>
  <c r="H1155" i="1"/>
  <c r="H1156" i="1"/>
  <c r="H1157" i="1"/>
  <c r="H1158" i="1"/>
  <c r="H1159" i="1"/>
  <c r="H1160" i="1"/>
  <c r="H1161" i="1"/>
  <c r="H1162" i="1"/>
  <c r="H1163" i="1"/>
  <c r="H1164" i="1"/>
  <c r="H1165" i="1"/>
  <c r="H1166" i="1"/>
  <c r="H1167" i="1"/>
  <c r="H1168" i="1"/>
  <c r="H1169" i="1"/>
  <c r="H1170" i="1"/>
  <c r="H1171" i="1"/>
  <c r="H1172" i="1"/>
  <c r="H1173" i="1"/>
  <c r="H1174" i="1"/>
  <c r="H1175" i="1"/>
  <c r="H1176" i="1"/>
  <c r="H1177" i="1"/>
  <c r="H1178" i="1"/>
  <c r="H1179" i="1"/>
  <c r="H1180" i="1"/>
  <c r="H1181" i="1"/>
  <c r="H1182" i="1"/>
  <c r="H1183" i="1"/>
  <c r="H1184" i="1"/>
  <c r="H1185" i="1"/>
  <c r="H1186" i="1"/>
  <c r="H1187" i="1"/>
  <c r="H1188" i="1"/>
  <c r="H1190" i="1"/>
  <c r="H1191" i="1"/>
  <c r="H1192" i="1"/>
  <c r="H1193" i="1"/>
  <c r="H1194" i="1"/>
  <c r="H1195" i="1"/>
  <c r="H1196" i="1"/>
  <c r="H1197" i="1"/>
  <c r="H1198" i="1"/>
  <c r="H1199" i="1"/>
  <c r="H1200" i="1"/>
  <c r="H1201" i="1"/>
  <c r="H1202" i="1"/>
  <c r="H1203" i="1"/>
  <c r="H1204" i="1"/>
  <c r="H1205" i="1"/>
  <c r="H1206" i="1"/>
  <c r="H1207" i="1"/>
  <c r="H1208" i="1"/>
  <c r="H1209" i="1"/>
  <c r="H1210" i="1"/>
  <c r="H1211" i="1"/>
  <c r="H1212" i="1"/>
  <c r="H1213" i="1"/>
  <c r="H1214" i="1"/>
  <c r="H1215" i="1"/>
  <c r="H1216" i="1"/>
  <c r="H1217" i="1"/>
  <c r="H1218" i="1"/>
  <c r="H1219" i="1"/>
  <c r="H1220" i="1"/>
  <c r="H1221" i="1"/>
  <c r="H1222" i="1"/>
  <c r="H1223" i="1"/>
  <c r="H1224" i="1"/>
  <c r="H1226" i="1"/>
  <c r="H1227" i="1"/>
  <c r="H1228" i="1"/>
  <c r="H1229" i="1"/>
  <c r="H1230" i="1"/>
  <c r="H1231" i="1"/>
  <c r="H1232" i="1"/>
  <c r="H1233" i="1"/>
  <c r="H1234" i="1"/>
  <c r="H1235" i="1"/>
  <c r="H1236" i="1"/>
  <c r="H1237" i="1"/>
  <c r="H1238" i="1"/>
  <c r="H1239" i="1"/>
  <c r="H1240" i="1"/>
  <c r="H1241" i="1"/>
  <c r="H1242" i="1"/>
  <c r="H1243" i="1"/>
  <c r="H1244" i="1"/>
  <c r="H1245" i="1"/>
  <c r="H1246" i="1"/>
  <c r="H1247" i="1"/>
  <c r="H1248" i="1"/>
  <c r="H1249" i="1"/>
  <c r="H1250" i="1"/>
  <c r="H1251" i="1"/>
  <c r="H1252" i="1"/>
  <c r="H1253" i="1"/>
  <c r="H1254" i="1"/>
  <c r="H1255" i="1"/>
  <c r="H1256" i="1"/>
  <c r="H1257" i="1"/>
  <c r="H1258" i="1"/>
  <c r="H1259" i="1"/>
  <c r="H1260" i="1"/>
  <c r="H1262" i="1"/>
  <c r="H1263" i="1"/>
  <c r="H1264" i="1"/>
  <c r="H1265" i="1"/>
  <c r="H1266" i="1"/>
  <c r="H1267" i="1"/>
  <c r="H1268" i="1"/>
  <c r="H1269" i="1"/>
  <c r="H1270" i="1"/>
  <c r="H1271" i="1"/>
  <c r="H1272" i="1"/>
  <c r="H1273" i="1"/>
  <c r="H1274" i="1"/>
  <c r="H1275" i="1"/>
  <c r="H1276" i="1"/>
  <c r="H1277" i="1"/>
  <c r="H1278" i="1"/>
  <c r="H1279" i="1"/>
  <c r="H1280" i="1"/>
  <c r="H1281" i="1"/>
  <c r="H1282" i="1"/>
  <c r="H1283" i="1"/>
  <c r="H1284" i="1"/>
  <c r="H1285" i="1"/>
  <c r="H1286" i="1"/>
  <c r="H1287" i="1"/>
  <c r="H1288" i="1"/>
  <c r="H1289" i="1"/>
  <c r="H1290" i="1"/>
  <c r="H1291" i="1"/>
  <c r="H1292" i="1"/>
  <c r="H1293" i="1"/>
  <c r="H1294" i="1"/>
  <c r="H1295" i="1"/>
  <c r="H1296" i="1"/>
  <c r="H1298" i="1"/>
  <c r="H1299" i="1"/>
  <c r="H1300" i="1"/>
  <c r="H1301" i="1"/>
  <c r="H1302" i="1"/>
  <c r="H1303" i="1"/>
  <c r="H1304" i="1"/>
  <c r="H1305" i="1"/>
  <c r="H1306" i="1"/>
  <c r="H1307" i="1"/>
  <c r="H1308" i="1"/>
  <c r="H1309" i="1"/>
  <c r="H1310" i="1"/>
  <c r="H1311" i="1"/>
  <c r="H1312" i="1"/>
  <c r="H1313" i="1"/>
  <c r="H1314" i="1"/>
  <c r="H1315" i="1"/>
  <c r="H1316" i="1"/>
  <c r="H1317" i="1"/>
  <c r="H1318" i="1"/>
  <c r="H1319" i="1"/>
  <c r="H1320" i="1"/>
  <c r="H1321" i="1"/>
  <c r="H1322" i="1"/>
  <c r="H1323" i="1"/>
  <c r="H1324" i="1"/>
  <c r="H1325" i="1"/>
  <c r="H1326" i="1"/>
  <c r="H1327" i="1"/>
  <c r="H1328" i="1"/>
  <c r="H1329" i="1"/>
  <c r="H1330" i="1"/>
  <c r="H1331" i="1"/>
  <c r="H1332" i="1"/>
  <c r="H1334" i="1"/>
  <c r="H1335" i="1"/>
  <c r="H1336" i="1"/>
  <c r="H1337" i="1"/>
  <c r="H1338" i="1"/>
  <c r="H1339" i="1"/>
  <c r="H1340" i="1"/>
  <c r="H1341" i="1"/>
  <c r="H1342" i="1"/>
  <c r="H1343" i="1"/>
  <c r="H1344" i="1"/>
  <c r="H1345" i="1"/>
  <c r="H1346" i="1"/>
  <c r="H1347" i="1"/>
  <c r="H1348" i="1"/>
  <c r="H1349" i="1"/>
  <c r="H1350" i="1"/>
  <c r="H1351" i="1"/>
  <c r="H1352" i="1"/>
  <c r="H1353" i="1"/>
  <c r="H1354" i="1"/>
  <c r="H1355" i="1"/>
  <c r="H1356" i="1"/>
  <c r="H1357" i="1"/>
  <c r="H1358" i="1"/>
  <c r="H1359" i="1"/>
  <c r="H1360" i="1"/>
  <c r="H1361" i="1"/>
  <c r="H1362" i="1"/>
  <c r="H1363" i="1"/>
  <c r="H1364" i="1"/>
  <c r="H1365" i="1"/>
  <c r="H1366" i="1"/>
  <c r="H1367" i="1"/>
  <c r="H1368" i="1"/>
  <c r="H1370" i="1"/>
  <c r="H1371" i="1"/>
  <c r="H1372" i="1"/>
  <c r="H1373" i="1"/>
  <c r="H1374" i="1"/>
  <c r="H1375" i="1"/>
  <c r="H1376" i="1"/>
  <c r="H1377" i="1"/>
  <c r="H1378" i="1"/>
  <c r="H1379" i="1"/>
  <c r="H1380" i="1"/>
  <c r="H1381" i="1"/>
  <c r="H1382" i="1"/>
  <c r="H1383" i="1"/>
  <c r="H1384" i="1"/>
  <c r="H1385" i="1"/>
  <c r="H1386" i="1"/>
  <c r="H1387" i="1"/>
  <c r="H1388" i="1"/>
  <c r="H1389" i="1"/>
  <c r="H1390" i="1"/>
  <c r="H1391" i="1"/>
  <c r="H1392" i="1"/>
  <c r="H1393" i="1"/>
  <c r="H1394" i="1"/>
  <c r="H1395" i="1"/>
  <c r="H1396" i="1"/>
  <c r="H1397" i="1"/>
  <c r="H1398" i="1"/>
  <c r="H1399" i="1"/>
  <c r="H1400" i="1"/>
  <c r="H1401" i="1"/>
  <c r="H1402" i="1"/>
  <c r="H1403" i="1"/>
  <c r="H1404" i="1"/>
  <c r="H1406" i="1"/>
  <c r="H1407" i="1"/>
  <c r="H1408" i="1"/>
  <c r="H1409" i="1"/>
  <c r="H1410" i="1"/>
  <c r="H1411" i="1"/>
  <c r="H1412" i="1"/>
  <c r="H1413" i="1"/>
  <c r="H1414" i="1"/>
  <c r="H1415" i="1"/>
  <c r="H1416" i="1"/>
  <c r="H1417" i="1"/>
  <c r="H1418" i="1"/>
  <c r="H1419" i="1"/>
  <c r="H1420" i="1"/>
  <c r="H1421" i="1"/>
  <c r="H1422" i="1"/>
  <c r="H1423" i="1"/>
  <c r="H1424" i="1"/>
  <c r="H1425" i="1"/>
  <c r="H1426" i="1"/>
  <c r="H1427" i="1"/>
  <c r="H1428" i="1"/>
  <c r="H1429" i="1"/>
  <c r="H1430" i="1"/>
  <c r="H1431" i="1"/>
  <c r="H1432" i="1"/>
  <c r="H1433" i="1"/>
  <c r="H1434" i="1"/>
  <c r="H1435" i="1"/>
  <c r="H1436" i="1"/>
  <c r="H1437" i="1"/>
  <c r="H1438" i="1"/>
  <c r="H1439" i="1"/>
  <c r="H1440" i="1"/>
  <c r="H1442" i="1"/>
  <c r="H1443" i="1"/>
  <c r="H1444" i="1"/>
  <c r="H1445" i="1"/>
  <c r="H1446" i="1"/>
  <c r="H1447" i="1"/>
  <c r="H1448" i="1"/>
  <c r="H1449" i="1"/>
  <c r="H1450" i="1"/>
  <c r="H1451" i="1"/>
  <c r="H1452" i="1"/>
  <c r="H1453" i="1"/>
  <c r="H1454" i="1"/>
  <c r="H1455" i="1"/>
  <c r="H1456" i="1"/>
  <c r="H1457" i="1"/>
  <c r="H1458" i="1"/>
  <c r="H1459" i="1"/>
  <c r="H1460" i="1"/>
  <c r="H1461" i="1"/>
  <c r="H1462" i="1"/>
  <c r="H1463" i="1"/>
  <c r="H1464" i="1"/>
  <c r="H1465" i="1"/>
  <c r="H1466" i="1"/>
  <c r="H1467" i="1"/>
  <c r="H1468" i="1"/>
  <c r="H1469" i="1"/>
  <c r="H1470" i="1"/>
  <c r="H1471" i="1"/>
  <c r="H1472" i="1"/>
  <c r="H1473" i="1"/>
  <c r="H1474" i="1"/>
  <c r="H1475" i="1"/>
  <c r="H1476" i="1"/>
  <c r="H1478" i="1"/>
  <c r="H1479" i="1"/>
  <c r="H1480" i="1"/>
  <c r="H1481" i="1"/>
  <c r="H1482" i="1"/>
  <c r="H1483" i="1"/>
  <c r="H1484" i="1"/>
  <c r="H1485" i="1"/>
  <c r="H1486" i="1"/>
  <c r="H1487" i="1"/>
  <c r="H1488" i="1"/>
  <c r="H1489" i="1"/>
  <c r="H1490" i="1"/>
  <c r="H1491" i="1"/>
  <c r="H1492" i="1"/>
  <c r="H1493" i="1"/>
  <c r="H1494" i="1"/>
  <c r="H1495" i="1"/>
  <c r="H1496" i="1"/>
  <c r="H1497" i="1"/>
  <c r="H1498" i="1"/>
  <c r="H1499" i="1"/>
  <c r="H1500" i="1"/>
  <c r="H1501" i="1"/>
  <c r="H1502" i="1"/>
  <c r="H1503" i="1"/>
  <c r="H1504" i="1"/>
  <c r="H1505" i="1"/>
  <c r="H1506" i="1"/>
  <c r="H1507" i="1"/>
  <c r="H1508" i="1"/>
  <c r="H1509" i="1"/>
  <c r="H1510" i="1"/>
  <c r="H1511" i="1"/>
  <c r="H1512" i="1"/>
  <c r="H1514" i="1"/>
  <c r="H1515" i="1"/>
  <c r="H1516" i="1"/>
  <c r="H1517" i="1"/>
  <c r="H1518" i="1"/>
  <c r="H1519" i="1"/>
  <c r="H1520" i="1"/>
  <c r="H1521" i="1"/>
  <c r="H1522" i="1"/>
  <c r="H1523" i="1"/>
  <c r="H1524" i="1"/>
  <c r="H1525" i="1"/>
  <c r="H1526" i="1"/>
  <c r="H1527" i="1"/>
  <c r="H1528" i="1"/>
  <c r="H1529" i="1"/>
  <c r="H1530" i="1"/>
  <c r="H1531" i="1"/>
  <c r="H1532" i="1"/>
  <c r="H1533" i="1"/>
  <c r="H1534" i="1"/>
  <c r="H1535" i="1"/>
  <c r="H1536" i="1"/>
  <c r="H1537" i="1"/>
  <c r="H1538" i="1"/>
  <c r="H1539" i="1"/>
  <c r="H1540" i="1"/>
  <c r="H1541" i="1"/>
  <c r="H1542" i="1"/>
  <c r="H1543" i="1"/>
  <c r="H1544" i="1"/>
  <c r="H1545" i="1"/>
  <c r="H1546" i="1"/>
  <c r="H1547" i="1"/>
  <c r="H1548" i="1"/>
  <c r="H1550" i="1"/>
  <c r="H1551" i="1"/>
  <c r="H1552" i="1"/>
  <c r="H1553" i="1"/>
  <c r="H1554" i="1"/>
  <c r="H1555" i="1"/>
  <c r="H1556" i="1"/>
  <c r="H1557" i="1"/>
  <c r="H1558" i="1"/>
  <c r="H1559" i="1"/>
  <c r="H1560" i="1"/>
  <c r="H1561" i="1"/>
  <c r="H1562" i="1"/>
  <c r="H1563" i="1"/>
  <c r="H1564" i="1"/>
  <c r="H1565" i="1"/>
  <c r="H1566" i="1"/>
  <c r="H1567" i="1"/>
  <c r="H1568" i="1"/>
  <c r="H1569" i="1"/>
  <c r="H1570" i="1"/>
  <c r="H1571" i="1"/>
  <c r="H1572" i="1"/>
  <c r="H1573" i="1"/>
  <c r="H1574" i="1"/>
  <c r="H1575" i="1"/>
  <c r="H1576" i="1"/>
  <c r="H1577" i="1"/>
  <c r="H1578" i="1"/>
  <c r="H1579" i="1"/>
  <c r="H1580" i="1"/>
  <c r="H1581" i="1"/>
  <c r="H1582" i="1"/>
  <c r="H1583" i="1"/>
  <c r="H1584" i="1"/>
  <c r="H1586" i="1"/>
  <c r="H1587" i="1"/>
  <c r="H1588" i="1"/>
  <c r="H1589" i="1"/>
  <c r="H1590" i="1"/>
  <c r="H1591" i="1"/>
  <c r="H1592" i="1"/>
  <c r="H1593" i="1"/>
  <c r="H1594" i="1"/>
  <c r="H1595" i="1"/>
  <c r="H1596" i="1"/>
  <c r="H1597" i="1"/>
  <c r="H1598" i="1"/>
  <c r="H1599" i="1"/>
  <c r="H1600" i="1"/>
  <c r="H1601" i="1"/>
  <c r="H1602" i="1"/>
  <c r="H1603" i="1"/>
  <c r="H1604" i="1"/>
  <c r="H1605" i="1"/>
  <c r="H1606" i="1"/>
  <c r="H1607" i="1"/>
  <c r="H1608" i="1"/>
  <c r="H1609" i="1"/>
  <c r="H1610" i="1"/>
  <c r="H1611" i="1"/>
  <c r="H1612" i="1"/>
  <c r="H1613" i="1"/>
  <c r="H1614" i="1"/>
  <c r="H1615" i="1"/>
  <c r="H1616" i="1"/>
  <c r="H1617" i="1"/>
  <c r="H1618" i="1"/>
  <c r="H1619" i="1"/>
  <c r="H1620" i="1"/>
  <c r="H1622" i="1"/>
  <c r="H1623" i="1"/>
  <c r="H1624" i="1"/>
  <c r="H1625" i="1"/>
  <c r="H1626" i="1"/>
  <c r="H1627" i="1"/>
  <c r="H1628" i="1"/>
  <c r="H1629" i="1"/>
  <c r="H1630" i="1"/>
  <c r="H1631" i="1"/>
  <c r="H1632" i="1"/>
  <c r="H1633" i="1"/>
  <c r="H1634" i="1"/>
  <c r="H1635" i="1"/>
  <c r="H1636" i="1"/>
  <c r="H1637" i="1"/>
  <c r="H1638" i="1"/>
  <c r="H1639" i="1"/>
  <c r="H1640" i="1"/>
  <c r="H1641" i="1"/>
  <c r="H1642" i="1"/>
  <c r="H1643" i="1"/>
  <c r="H1644" i="1"/>
  <c r="H1645" i="1"/>
  <c r="H1646" i="1"/>
  <c r="H1647" i="1"/>
  <c r="H1648" i="1"/>
  <c r="H1649" i="1"/>
  <c r="H1650" i="1"/>
  <c r="H1651" i="1"/>
  <c r="H1652" i="1"/>
  <c r="H1653" i="1"/>
  <c r="H1654" i="1"/>
  <c r="H1655" i="1"/>
  <c r="H1656" i="1"/>
  <c r="H1658" i="1"/>
  <c r="H1659" i="1"/>
  <c r="H1660" i="1"/>
  <c r="H1661" i="1"/>
  <c r="H1662" i="1"/>
  <c r="H1663" i="1"/>
  <c r="H1664" i="1"/>
  <c r="H1665" i="1"/>
  <c r="H1666" i="1"/>
  <c r="H1667" i="1"/>
  <c r="H1668" i="1"/>
  <c r="H1669" i="1"/>
  <c r="H1670" i="1"/>
  <c r="H1671" i="1"/>
  <c r="H1672" i="1"/>
  <c r="H1673" i="1"/>
  <c r="H1674" i="1"/>
  <c r="H1675" i="1"/>
  <c r="H1676" i="1"/>
  <c r="H1677" i="1"/>
  <c r="H1678" i="1"/>
  <c r="H1679" i="1"/>
  <c r="H1680" i="1"/>
  <c r="H1681" i="1"/>
  <c r="H1682" i="1"/>
  <c r="H1683" i="1"/>
  <c r="H1684" i="1"/>
  <c r="H1685" i="1"/>
  <c r="H1686" i="1"/>
  <c r="H1687" i="1"/>
  <c r="H1688" i="1"/>
  <c r="H1689" i="1"/>
  <c r="H1690" i="1"/>
  <c r="H1691" i="1"/>
  <c r="H1692" i="1"/>
  <c r="H1694" i="1"/>
  <c r="H1695" i="1"/>
  <c r="H1696" i="1"/>
  <c r="H1697" i="1"/>
  <c r="H1698" i="1"/>
  <c r="H1699" i="1"/>
  <c r="H1700" i="1"/>
  <c r="H1701" i="1"/>
  <c r="H1702" i="1"/>
  <c r="H1703" i="1"/>
  <c r="H1704" i="1"/>
  <c r="H1705" i="1"/>
  <c r="H1706" i="1"/>
  <c r="H1707" i="1"/>
  <c r="H1708" i="1"/>
  <c r="H1709" i="1"/>
  <c r="H1710" i="1"/>
  <c r="H1711" i="1"/>
  <c r="H1712" i="1"/>
  <c r="H1713" i="1"/>
  <c r="H1714" i="1"/>
  <c r="H1715" i="1"/>
  <c r="H1716" i="1"/>
  <c r="H1717" i="1"/>
  <c r="H1718" i="1"/>
  <c r="H1719" i="1"/>
  <c r="H1720" i="1"/>
  <c r="H1721" i="1"/>
  <c r="H1722" i="1"/>
  <c r="H1723" i="1"/>
  <c r="H1724" i="1"/>
  <c r="H1725" i="1"/>
  <c r="H1726" i="1"/>
  <c r="H1727" i="1"/>
  <c r="H1728" i="1"/>
  <c r="H1730" i="1"/>
  <c r="H1731" i="1"/>
  <c r="H1732" i="1"/>
  <c r="H1733" i="1"/>
  <c r="H1734" i="1"/>
  <c r="H1735" i="1"/>
  <c r="H1736" i="1"/>
  <c r="H1737" i="1"/>
  <c r="H1738" i="1"/>
  <c r="H1739" i="1"/>
  <c r="H1740" i="1"/>
  <c r="H1741" i="1"/>
  <c r="H1742" i="1"/>
  <c r="H1743" i="1"/>
  <c r="H1744" i="1"/>
  <c r="H1745" i="1"/>
  <c r="H1746" i="1"/>
  <c r="H1747" i="1"/>
  <c r="H1748" i="1"/>
  <c r="H1749" i="1"/>
  <c r="H1750" i="1"/>
  <c r="H1751" i="1"/>
  <c r="H1752" i="1"/>
  <c r="H1753" i="1"/>
  <c r="H1754" i="1"/>
  <c r="H1755" i="1"/>
  <c r="H1756" i="1"/>
  <c r="H1757" i="1"/>
  <c r="H1758" i="1"/>
  <c r="H1759" i="1"/>
  <c r="H1760" i="1"/>
  <c r="H1761" i="1"/>
  <c r="H1762" i="1"/>
  <c r="H1763" i="1"/>
  <c r="H1764" i="1"/>
  <c r="H1766" i="1"/>
  <c r="H1767" i="1"/>
  <c r="H1768" i="1"/>
  <c r="H1769" i="1"/>
  <c r="H1770" i="1"/>
  <c r="H1771" i="1"/>
  <c r="H1772" i="1"/>
  <c r="H1773" i="1"/>
  <c r="H1774" i="1"/>
  <c r="H1775" i="1"/>
  <c r="H1776" i="1"/>
  <c r="H1777" i="1"/>
  <c r="H1778" i="1"/>
  <c r="H1779" i="1"/>
  <c r="H1780" i="1"/>
  <c r="H1781" i="1"/>
  <c r="H1782" i="1"/>
  <c r="H1783" i="1"/>
  <c r="H1784" i="1"/>
  <c r="H1785" i="1"/>
  <c r="H1786" i="1"/>
  <c r="H1787" i="1"/>
  <c r="H1788" i="1"/>
  <c r="H1789" i="1"/>
  <c r="H1790" i="1"/>
  <c r="H1791" i="1"/>
  <c r="H1792" i="1"/>
  <c r="H1793" i="1"/>
  <c r="H1794" i="1"/>
  <c r="H1795" i="1"/>
  <c r="H1796" i="1"/>
  <c r="H1797" i="1"/>
  <c r="H1798" i="1"/>
  <c r="H1799" i="1"/>
  <c r="H1800" i="1"/>
  <c r="H1802" i="1"/>
  <c r="H1803" i="1"/>
  <c r="H1804" i="1"/>
  <c r="H1805" i="1"/>
  <c r="H1806" i="1"/>
  <c r="H1807" i="1"/>
  <c r="H1808" i="1"/>
  <c r="H1809" i="1"/>
  <c r="H1810" i="1"/>
  <c r="H1811" i="1"/>
  <c r="H1812" i="1"/>
  <c r="H1813" i="1"/>
  <c r="H1814" i="1"/>
  <c r="H1815" i="1"/>
  <c r="H1816" i="1"/>
  <c r="H1817" i="1"/>
  <c r="H1818" i="1"/>
  <c r="H1819" i="1"/>
  <c r="H1820" i="1"/>
  <c r="H1821" i="1"/>
  <c r="H1822" i="1"/>
  <c r="H1823" i="1"/>
  <c r="H1824" i="1"/>
  <c r="H1825" i="1"/>
  <c r="H1826" i="1"/>
  <c r="H1827" i="1"/>
  <c r="H1828" i="1"/>
  <c r="H1829" i="1"/>
  <c r="H1830" i="1"/>
  <c r="H1831" i="1"/>
  <c r="H1832" i="1"/>
  <c r="H1833" i="1"/>
  <c r="H1834" i="1"/>
  <c r="H1835" i="1"/>
  <c r="H1836" i="1"/>
  <c r="H1838" i="1"/>
  <c r="H1839" i="1"/>
  <c r="H1840" i="1"/>
  <c r="H1841" i="1"/>
  <c r="H1842" i="1"/>
  <c r="H1843" i="1"/>
  <c r="H1844" i="1"/>
  <c r="H1845" i="1"/>
  <c r="H1846" i="1"/>
  <c r="H1847" i="1"/>
  <c r="H1848" i="1"/>
  <c r="H1849" i="1"/>
  <c r="H1850" i="1"/>
  <c r="H1851" i="1"/>
  <c r="H1852" i="1"/>
  <c r="H1853" i="1"/>
  <c r="H1854" i="1"/>
  <c r="H1855" i="1"/>
  <c r="H1856" i="1"/>
  <c r="H1857" i="1"/>
  <c r="H1858" i="1"/>
  <c r="H1859" i="1"/>
  <c r="H1860" i="1"/>
  <c r="H1861" i="1"/>
  <c r="H1862" i="1"/>
  <c r="H1863" i="1"/>
  <c r="H1864" i="1"/>
  <c r="H1865" i="1"/>
  <c r="H1866" i="1"/>
  <c r="H1867" i="1"/>
  <c r="H1868" i="1"/>
  <c r="H1869" i="1"/>
  <c r="H1870" i="1"/>
  <c r="H1871" i="1"/>
  <c r="H1872" i="1"/>
  <c r="H1874" i="1"/>
  <c r="H1875" i="1"/>
  <c r="H1876" i="1"/>
  <c r="H1877" i="1"/>
  <c r="H1878" i="1"/>
  <c r="H1879" i="1"/>
  <c r="H1880" i="1"/>
  <c r="H1881" i="1"/>
  <c r="H1882" i="1"/>
  <c r="H1883" i="1"/>
  <c r="H1884" i="1"/>
  <c r="H1885" i="1"/>
  <c r="H1886" i="1"/>
  <c r="H1887" i="1"/>
  <c r="H1888" i="1"/>
  <c r="H1889" i="1"/>
  <c r="H1890" i="1"/>
  <c r="H1891" i="1"/>
  <c r="H1892" i="1"/>
  <c r="H1893" i="1"/>
  <c r="H1894" i="1"/>
  <c r="H1895" i="1"/>
  <c r="H1896" i="1"/>
  <c r="H1897" i="1"/>
  <c r="H1898" i="1"/>
  <c r="H1899" i="1"/>
  <c r="H1900" i="1"/>
  <c r="H1901" i="1"/>
  <c r="H1902" i="1"/>
  <c r="H1903" i="1"/>
  <c r="H1904" i="1"/>
  <c r="H1905" i="1"/>
  <c r="H1906" i="1"/>
  <c r="H1907" i="1"/>
  <c r="H1908" i="1"/>
  <c r="H2" i="1"/>
  <c r="K17" i="2" l="1"/>
  <c r="K18" i="2"/>
  <c r="J8" i="3"/>
  <c r="I15" i="3" l="1"/>
  <c r="I18" i="3"/>
  <c r="J17" i="2" s="1"/>
  <c r="I19" i="3" l="1"/>
  <c r="I20" i="3"/>
  <c r="I21" i="3" s="1"/>
  <c r="J18" i="2" s="1"/>
  <c r="R44" i="11" l="1"/>
  <c r="R45" i="11" s="1"/>
  <c r="O45" i="11" s="1"/>
  <c r="Q44" i="11"/>
  <c r="Q45" i="11" s="1"/>
  <c r="D64" i="11"/>
  <c r="E65" i="11" s="1"/>
  <c r="E64" i="11"/>
  <c r="G64" i="11"/>
  <c r="H65" i="11" s="1"/>
  <c r="H64" i="11"/>
  <c r="I64" i="11"/>
  <c r="J64" i="11"/>
  <c r="K64" i="11"/>
  <c r="L64" i="11"/>
  <c r="M64" i="11"/>
  <c r="N64" i="11"/>
  <c r="F64" i="11"/>
  <c r="G65" i="11" s="1"/>
  <c r="G73" i="11" s="1"/>
  <c r="I19" i="7"/>
  <c r="O65" i="11" l="1"/>
  <c r="O73" i="11"/>
  <c r="N65" i="11"/>
  <c r="N73" i="11" s="1"/>
  <c r="M65" i="11"/>
  <c r="M73" i="11" s="1"/>
  <c r="L65" i="11"/>
  <c r="L73" i="11" s="1"/>
  <c r="K65" i="11"/>
  <c r="K73" i="11" s="1"/>
  <c r="J65" i="11"/>
  <c r="J73" i="11" s="1"/>
  <c r="I65" i="11"/>
  <c r="I73" i="11" s="1"/>
  <c r="H73" i="11"/>
  <c r="H74" i="11" s="1"/>
  <c r="E73" i="11"/>
  <c r="F65" i="11"/>
  <c r="F73" i="11" s="1"/>
  <c r="D73" i="11" l="1"/>
  <c r="D74" i="11" s="1"/>
  <c r="D38" i="11" s="1"/>
  <c r="F74" i="11"/>
  <c r="H78" i="11"/>
  <c r="I74" i="11"/>
  <c r="J74" i="11"/>
  <c r="K74" i="11"/>
  <c r="L74" i="11"/>
  <c r="M74" i="11"/>
  <c r="N74" i="11"/>
  <c r="E74" i="11"/>
  <c r="E38" i="11" s="1"/>
  <c r="F78" i="11"/>
  <c r="E78" i="11"/>
  <c r="G78" i="11"/>
  <c r="I78" i="11"/>
  <c r="J78" i="11"/>
  <c r="K78" i="11"/>
  <c r="L78" i="11"/>
  <c r="M78" i="11"/>
  <c r="N78" i="11"/>
  <c r="O78" i="11"/>
  <c r="O74" i="11"/>
  <c r="G74" i="11"/>
  <c r="G38" i="11" l="1"/>
  <c r="G39" i="11" s="1"/>
  <c r="G48" i="11" s="1"/>
  <c r="J38" i="11"/>
  <c r="O38" i="11"/>
  <c r="L38" i="11"/>
  <c r="K38" i="11"/>
  <c r="D78" i="11"/>
  <c r="F41" i="11" s="1"/>
  <c r="N38" i="11"/>
  <c r="M38" i="11"/>
  <c r="F38" i="11"/>
  <c r="F39" i="11" s="1"/>
  <c r="I38" i="11"/>
  <c r="I39" i="11" s="1"/>
  <c r="O41" i="11"/>
  <c r="N41" i="11"/>
  <c r="N42" i="11" s="1"/>
  <c r="M41" i="11"/>
  <c r="M42" i="11" s="1"/>
  <c r="L41" i="11"/>
  <c r="L42" i="11" s="1"/>
  <c r="K41" i="11"/>
  <c r="K42" i="11" s="1"/>
  <c r="J41" i="11"/>
  <c r="I41" i="11"/>
  <c r="G41" i="11"/>
  <c r="D41" i="11"/>
  <c r="E41" i="11"/>
  <c r="E42" i="11" s="1"/>
  <c r="J39" i="11" l="1"/>
  <c r="K39" i="11" s="1"/>
  <c r="E39" i="11"/>
  <c r="F48" i="11"/>
  <c r="F42" i="11"/>
  <c r="D42" i="11"/>
  <c r="G42" i="11"/>
  <c r="I42" i="11"/>
  <c r="I48" i="11" s="1"/>
  <c r="J42" i="11"/>
  <c r="O42" i="11"/>
  <c r="O44" i="11"/>
  <c r="E68" i="11" l="1"/>
  <c r="E69" i="11" s="1"/>
  <c r="E70" i="11" s="1"/>
  <c r="J48" i="11"/>
  <c r="J49" i="11" s="1"/>
  <c r="D39" i="11"/>
  <c r="D48" i="11" s="1"/>
  <c r="E48" i="11"/>
  <c r="E49" i="11" s="1"/>
  <c r="L39" i="11"/>
  <c r="K48" i="11"/>
  <c r="O68" i="11"/>
  <c r="I49" i="11"/>
  <c r="G49" i="11"/>
  <c r="G68" i="11"/>
  <c r="E79" i="11"/>
  <c r="F68" i="11"/>
  <c r="F49" i="11"/>
  <c r="D68" i="11" l="1"/>
  <c r="D79" i="11" s="1"/>
  <c r="K49" i="11"/>
  <c r="H68" i="11"/>
  <c r="H69" i="11" s="1"/>
  <c r="H70" i="11" s="1"/>
  <c r="D49" i="11"/>
  <c r="M39" i="11"/>
  <c r="L48" i="11"/>
  <c r="I68" i="11" s="1"/>
  <c r="I69" i="11" s="1"/>
  <c r="I70" i="11" s="1"/>
  <c r="F69" i="11"/>
  <c r="F79" i="11"/>
  <c r="D69" i="11"/>
  <c r="D70" i="11" s="1"/>
  <c r="G69" i="11"/>
  <c r="G70" i="11" s="1"/>
  <c r="G79" i="11"/>
  <c r="O69" i="11"/>
  <c r="O79" i="11"/>
  <c r="H79" i="11" l="1"/>
  <c r="E75" i="11"/>
  <c r="E76" i="11" s="1"/>
  <c r="F70" i="11"/>
  <c r="I79" i="11"/>
  <c r="G75" i="11"/>
  <c r="G76" i="11" s="1"/>
  <c r="L49" i="11"/>
  <c r="N39" i="11"/>
  <c r="M48" i="11"/>
  <c r="J68" i="11" s="1"/>
  <c r="I75" i="11"/>
  <c r="I76" i="11" s="1"/>
  <c r="H75" i="11"/>
  <c r="H76" i="11" s="1"/>
  <c r="O75" i="11"/>
  <c r="O76" i="11" s="1"/>
  <c r="D83" i="11"/>
  <c r="E83" i="11" s="1"/>
  <c r="D75" i="11"/>
  <c r="D76" i="11" s="1"/>
  <c r="F75" i="11"/>
  <c r="F76" i="11" s="1"/>
  <c r="M49" i="11" l="1"/>
  <c r="O39" i="11"/>
  <c r="O48" i="11" s="1"/>
  <c r="N68" i="11" s="1"/>
  <c r="N48" i="11"/>
  <c r="K68" i="11" s="1"/>
  <c r="J69" i="11"/>
  <c r="J79" i="11"/>
  <c r="N69" i="11" l="1"/>
  <c r="N79" i="11"/>
  <c r="J75" i="11"/>
  <c r="J76" i="11" s="1"/>
  <c r="J70" i="11"/>
  <c r="N49" i="11"/>
  <c r="L68" i="11"/>
  <c r="M68" i="11"/>
  <c r="O49" i="11"/>
  <c r="K69" i="11"/>
  <c r="K79" i="11"/>
  <c r="N70" i="11" l="1"/>
  <c r="N75" i="11"/>
  <c r="N76" i="11" s="1"/>
  <c r="K75" i="11"/>
  <c r="K76" i="11" s="1"/>
  <c r="K70" i="11"/>
  <c r="M69" i="11"/>
  <c r="M79" i="11"/>
  <c r="L69" i="11"/>
  <c r="L79" i="11"/>
  <c r="M70" i="11" l="1"/>
  <c r="D81" i="11"/>
  <c r="E81" i="11" s="1"/>
  <c r="L75" i="11"/>
  <c r="L76" i="11" s="1"/>
  <c r="L70" i="11"/>
  <c r="M75" i="11"/>
  <c r="M76" i="11" s="1"/>
  <c r="F19" i="12"/>
  <c r="H19" i="12" s="1"/>
  <c r="D82" i="11"/>
  <c r="E82" i="11" s="1"/>
  <c r="C20" i="12" l="1"/>
  <c r="I19" i="12"/>
  <c r="D20" i="12" s="1"/>
  <c r="E20" i="12" s="1"/>
  <c r="F20" i="12" s="1"/>
  <c r="H20" i="12" l="1"/>
  <c r="C21" i="12" l="1"/>
  <c r="I20" i="12"/>
  <c r="D21" i="12" s="1"/>
  <c r="E21" i="12" s="1"/>
  <c r="F21" i="12" s="1"/>
  <c r="H21" i="12" l="1"/>
  <c r="C22" i="12" l="1"/>
  <c r="I21" i="12"/>
  <c r="D22" i="12" s="1"/>
  <c r="E22" i="12" s="1"/>
  <c r="F22" i="12" s="1"/>
  <c r="H22" i="12" l="1"/>
  <c r="C23" i="12" l="1"/>
  <c r="I22" i="12"/>
  <c r="D23" i="12" l="1"/>
  <c r="E23" i="12" s="1"/>
  <c r="F23" i="12" s="1"/>
  <c r="H23" i="12" s="1"/>
  <c r="C24" i="12" l="1"/>
  <c r="I23" i="12"/>
  <c r="D24" i="12" l="1"/>
  <c r="E24" i="12" s="1"/>
  <c r="F24" i="12" s="1"/>
  <c r="H24" i="12" s="1"/>
  <c r="C25" i="12" l="1"/>
  <c r="I24" i="12"/>
  <c r="D25" i="12" l="1"/>
  <c r="E25" i="12" s="1"/>
  <c r="F25" i="12" s="1"/>
  <c r="H25" i="12" s="1"/>
  <c r="C26" i="12" l="1"/>
  <c r="I25" i="12"/>
  <c r="D26" i="12" l="1"/>
  <c r="E26" i="12" s="1"/>
  <c r="F26" i="12" s="1"/>
  <c r="H26" i="12" s="1"/>
  <c r="C27" i="12" l="1"/>
  <c r="I26" i="12"/>
  <c r="D27" i="12" l="1"/>
  <c r="E27" i="12" s="1"/>
  <c r="F27" i="12" s="1"/>
  <c r="H27" i="12" s="1"/>
  <c r="C28" i="12" l="1"/>
  <c r="I27" i="12"/>
  <c r="D28" i="12" l="1"/>
  <c r="E28" i="12" s="1"/>
  <c r="F28" i="12" s="1"/>
  <c r="H28" i="12" s="1"/>
  <c r="I28" i="12" s="1"/>
  <c r="K30" i="12" s="1"/>
  <c r="D44" i="11"/>
  <c r="D45" i="11" s="1"/>
  <c r="AD13" i="5" l="1"/>
  <c r="T13" i="5"/>
  <c r="K34" i="5" s="1"/>
  <c r="M34" i="5" s="1"/>
  <c r="T14" i="5" l="1"/>
  <c r="U13" i="5"/>
  <c r="V13" i="5" s="1"/>
  <c r="T15" i="5" l="1"/>
  <c r="T16" i="5" l="1"/>
  <c r="W13" i="5"/>
  <c r="T17" i="5" l="1"/>
  <c r="T18" i="5" l="1"/>
  <c r="T19" i="5" l="1"/>
  <c r="T20" i="5" l="1"/>
  <c r="T21" i="5" l="1"/>
  <c r="T22" i="5" l="1"/>
  <c r="T23" i="5" l="1"/>
  <c r="T24" i="5" l="1"/>
  <c r="T25" i="5" l="1"/>
  <c r="T26" i="5" l="1"/>
  <c r="T27" i="5" l="1"/>
  <c r="T28" i="5" s="1"/>
  <c r="T29" i="5" l="1"/>
  <c r="T30" i="5" l="1"/>
  <c r="T31" i="5" l="1"/>
  <c r="T35" i="5" l="1"/>
  <c r="T34" i="5" s="1"/>
  <c r="K32" i="5" s="1"/>
  <c r="U20" i="5" l="1"/>
  <c r="U21" i="5"/>
  <c r="U28" i="5"/>
  <c r="U14" i="5"/>
  <c r="V14" i="5" s="1"/>
  <c r="U18" i="5"/>
  <c r="U22" i="5"/>
  <c r="U26" i="5"/>
  <c r="U19" i="5"/>
  <c r="U27" i="5"/>
  <c r="U16" i="5"/>
  <c r="U24" i="5"/>
  <c r="U30" i="5"/>
  <c r="U17" i="5"/>
  <c r="U25" i="5"/>
  <c r="U29" i="5"/>
  <c r="U15" i="5"/>
  <c r="U23" i="5"/>
  <c r="U31" i="5"/>
  <c r="V31" i="5" s="1"/>
  <c r="V15" i="5" l="1"/>
  <c r="V16" i="5" s="1"/>
  <c r="V17" i="5" s="1"/>
  <c r="V18" i="5" s="1"/>
  <c r="V19" i="5" s="1"/>
  <c r="V20" i="5" s="1"/>
  <c r="V21" i="5" s="1"/>
  <c r="V22" i="5" s="1"/>
  <c r="V30" i="5"/>
  <c r="V29" i="5" s="1"/>
  <c r="V28" i="5" s="1"/>
  <c r="V27" i="5" s="1"/>
  <c r="V26" i="5" s="1"/>
  <c r="V25" i="5" s="1"/>
  <c r="V24" i="5" s="1"/>
  <c r="V23" i="5" s="1"/>
  <c r="U35" i="5"/>
  <c r="V35" i="5" l="1"/>
  <c r="W23" i="5" s="1"/>
  <c r="W29" i="5" l="1"/>
  <c r="W24" i="5"/>
  <c r="X24" i="5" s="1"/>
  <c r="W20" i="5"/>
  <c r="W28" i="5"/>
  <c r="W25" i="5"/>
  <c r="W26" i="5"/>
  <c r="W31" i="5"/>
  <c r="W30" i="5"/>
  <c r="W14" i="5"/>
  <c r="X14" i="5" s="1"/>
  <c r="W16" i="5"/>
  <c r="W15" i="5"/>
  <c r="W17" i="5"/>
  <c r="W18" i="5"/>
  <c r="W19" i="5"/>
  <c r="W21" i="5"/>
  <c r="X21" i="5" s="1"/>
  <c r="W32" i="5"/>
  <c r="Y32" i="5" s="1"/>
  <c r="AC32" i="5" s="1"/>
  <c r="W27" i="5"/>
  <c r="W22" i="5"/>
  <c r="X30" i="5" l="1"/>
  <c r="X25" i="5"/>
  <c r="X15" i="5"/>
  <c r="X31" i="5"/>
  <c r="X28" i="5"/>
  <c r="X32" i="5"/>
  <c r="X26" i="5"/>
  <c r="AA32" i="5"/>
  <c r="AE32" i="5" s="1"/>
  <c r="X29" i="5"/>
  <c r="Z31" i="5"/>
  <c r="Z30" i="5" s="1"/>
  <c r="X27" i="5"/>
  <c r="X18" i="5"/>
  <c r="X22" i="5"/>
  <c r="X19" i="5"/>
  <c r="X20" i="5"/>
  <c r="X16" i="5"/>
  <c r="X17" i="5"/>
  <c r="X23" i="5"/>
  <c r="Y31" i="5"/>
  <c r="AD31" i="5" l="1"/>
  <c r="AA31" i="5"/>
  <c r="AE31" i="5" s="1"/>
  <c r="C17" i="5"/>
  <c r="AC31" i="5"/>
  <c r="Y30" i="5"/>
  <c r="AD30" i="5"/>
  <c r="Z29" i="5"/>
  <c r="AA30" i="5" l="1"/>
  <c r="AE30" i="5" s="1"/>
  <c r="Z28" i="5"/>
  <c r="AD29" i="5"/>
  <c r="Y29" i="5"/>
  <c r="AC30" i="5"/>
  <c r="AA29" i="5" l="1"/>
  <c r="AE29" i="5" s="1"/>
  <c r="Y28" i="5"/>
  <c r="AC29" i="5"/>
  <c r="AD28" i="5"/>
  <c r="Z27" i="5"/>
  <c r="AA28" i="5" l="1"/>
  <c r="AE28" i="5" s="1"/>
  <c r="Y27" i="5"/>
  <c r="AC28" i="5"/>
  <c r="Z26" i="5"/>
  <c r="AD27" i="5"/>
  <c r="AA27" i="5" l="1"/>
  <c r="AE27" i="5" s="1"/>
  <c r="AD26" i="5"/>
  <c r="Z25" i="5"/>
  <c r="Y26" i="5"/>
  <c r="AC27" i="5"/>
  <c r="AA26" i="5" l="1"/>
  <c r="AE26" i="5" s="1"/>
  <c r="Y25" i="5"/>
  <c r="AC26" i="5"/>
  <c r="Z24" i="5"/>
  <c r="AD25" i="5"/>
  <c r="AA25" i="5" l="1"/>
  <c r="AE25" i="5" s="1"/>
  <c r="Z23" i="5"/>
  <c r="AD24" i="5"/>
  <c r="Y24" i="5"/>
  <c r="AC25" i="5"/>
  <c r="AA24" i="5" l="1"/>
  <c r="AA23" i="5" s="1"/>
  <c r="AA22" i="5" s="1"/>
  <c r="Y23" i="5"/>
  <c r="AC24" i="5"/>
  <c r="Z22" i="5"/>
  <c r="AD23" i="5"/>
  <c r="AE23" i="5" l="1"/>
  <c r="AE24" i="5"/>
  <c r="Z21" i="5"/>
  <c r="AD22" i="5"/>
  <c r="AA21" i="5"/>
  <c r="AE22" i="5"/>
  <c r="Y22" i="5"/>
  <c r="AC23" i="5"/>
  <c r="Y21" i="5" l="1"/>
  <c r="AC22" i="5"/>
  <c r="AA20" i="5"/>
  <c r="AE21" i="5"/>
  <c r="AD21" i="5"/>
  <c r="Z20" i="5"/>
  <c r="AA19" i="5" l="1"/>
  <c r="AE20" i="5"/>
  <c r="AD20" i="5"/>
  <c r="Z19" i="5"/>
  <c r="Y20" i="5"/>
  <c r="AC21" i="5"/>
  <c r="AC20" i="5" l="1"/>
  <c r="Y19" i="5"/>
  <c r="AE19" i="5"/>
  <c r="AA18" i="5"/>
  <c r="AD19" i="5"/>
  <c r="Z18" i="5"/>
  <c r="AE18" i="5" l="1"/>
  <c r="AA17" i="5"/>
  <c r="AD18" i="5"/>
  <c r="Z17" i="5"/>
  <c r="Y18" i="5"/>
  <c r="AC19" i="5"/>
  <c r="AP32" i="5"/>
  <c r="AP13" i="5"/>
  <c r="Z16" i="5" l="1"/>
  <c r="AD17" i="5"/>
  <c r="AE17" i="5"/>
  <c r="AA16" i="5"/>
  <c r="AC18" i="5"/>
  <c r="Y17" i="5"/>
  <c r="AA15" i="5" l="1"/>
  <c r="AE16" i="5"/>
  <c r="AC17" i="5"/>
  <c r="Y16" i="5"/>
  <c r="Z15" i="5"/>
  <c r="AD16" i="5"/>
  <c r="Y15" i="5" l="1"/>
  <c r="AC16" i="5"/>
  <c r="AD15" i="5"/>
  <c r="Z14" i="5"/>
  <c r="AH14" i="5" s="1"/>
  <c r="AA14" i="5"/>
  <c r="AI14" i="5" s="1"/>
  <c r="AE15" i="5"/>
  <c r="AD14" i="5" l="1"/>
  <c r="Z35" i="5" s="1"/>
  <c r="AH13" i="5"/>
  <c r="C18" i="5"/>
  <c r="AA13" i="5"/>
  <c r="AE13" i="5" s="1"/>
  <c r="AE14" i="5"/>
  <c r="Y14" i="5"/>
  <c r="AG14" i="5" s="1"/>
  <c r="AC15" i="5"/>
  <c r="AA35" i="5" l="1"/>
  <c r="AM32" i="5" s="1"/>
  <c r="Y13" i="5"/>
  <c r="AC13" i="5" s="1"/>
  <c r="AC14" i="5"/>
  <c r="AI13" i="5"/>
  <c r="AH15" i="5"/>
  <c r="AH16" i="5" s="1"/>
  <c r="AH17" i="5" s="1"/>
  <c r="AH18" i="5" s="1"/>
  <c r="AH19" i="5" s="1"/>
  <c r="AH20" i="5" s="1"/>
  <c r="AH21" i="5" s="1"/>
  <c r="AH22" i="5" s="1"/>
  <c r="AH23" i="5" s="1"/>
  <c r="AH24" i="5" s="1"/>
  <c r="AH25" i="5" s="1"/>
  <c r="AH26" i="5" s="1"/>
  <c r="AH27" i="5" s="1"/>
  <c r="AH28" i="5" s="1"/>
  <c r="AH29" i="5" s="1"/>
  <c r="AH30" i="5" s="1"/>
  <c r="AH31" i="5" s="1"/>
  <c r="Y35" i="5" l="1"/>
  <c r="AK32" i="5" s="1"/>
  <c r="AG13" i="5"/>
  <c r="AG15" i="5" s="1"/>
  <c r="AG16" i="5" s="1"/>
  <c r="AH35" i="5"/>
  <c r="AH36" i="5"/>
  <c r="AH37" i="5" s="1"/>
  <c r="AQ32" i="5"/>
  <c r="AL31" i="5" l="1"/>
  <c r="AP31" i="5" s="1"/>
  <c r="AL28" i="5"/>
  <c r="AL14" i="5"/>
  <c r="AT14" i="5" s="1"/>
  <c r="AL15" i="5"/>
  <c r="AP15" i="5" s="1"/>
  <c r="AL25" i="5"/>
  <c r="AL23" i="5"/>
  <c r="AP23" i="5" s="1"/>
  <c r="AL26" i="5"/>
  <c r="AP26" i="5" s="1"/>
  <c r="AL17" i="5"/>
  <c r="AL20" i="5"/>
  <c r="AL18" i="5"/>
  <c r="AP18" i="5" s="1"/>
  <c r="AL22" i="5"/>
  <c r="AL29" i="5"/>
  <c r="AP29" i="5" s="1"/>
  <c r="AL16" i="5"/>
  <c r="AP16" i="5" s="1"/>
  <c r="AL27" i="5"/>
  <c r="AT28" i="5" s="1"/>
  <c r="AL21" i="5"/>
  <c r="AP21" i="5" s="1"/>
  <c r="AL24" i="5"/>
  <c r="AP24" i="5" s="1"/>
  <c r="AL19" i="5"/>
  <c r="AL30" i="5"/>
  <c r="AG17" i="5"/>
  <c r="AO32" i="5"/>
  <c r="AI15" i="5"/>
  <c r="AP28" i="5"/>
  <c r="AT31" i="5" l="1"/>
  <c r="AT32" i="5"/>
  <c r="AT23" i="5"/>
  <c r="AT18" i="5"/>
  <c r="AP17" i="5"/>
  <c r="AP27" i="5"/>
  <c r="AT24" i="5"/>
  <c r="AT25" i="5"/>
  <c r="AP25" i="5"/>
  <c r="AT29" i="5"/>
  <c r="AT21" i="5"/>
  <c r="AT22" i="5"/>
  <c r="AP14" i="5"/>
  <c r="AP30" i="5"/>
  <c r="AT19" i="5"/>
  <c r="AT20" i="5"/>
  <c r="AP20" i="5"/>
  <c r="AP19" i="5"/>
  <c r="AT17" i="5"/>
  <c r="AT27" i="5"/>
  <c r="AT26" i="5"/>
  <c r="AP22" i="5"/>
  <c r="AT15" i="5"/>
  <c r="AT30" i="5"/>
  <c r="AT16" i="5"/>
  <c r="AG18" i="5"/>
  <c r="AI16" i="5"/>
  <c r="AL35" i="5" l="1"/>
  <c r="AT34" i="5"/>
  <c r="AI17" i="5"/>
  <c r="AG19" i="5"/>
  <c r="AI18" i="5" l="1"/>
  <c r="AG20" i="5"/>
  <c r="AG21" i="5" l="1"/>
  <c r="AI19" i="5"/>
  <c r="AG22" i="5" l="1"/>
  <c r="AI20" i="5"/>
  <c r="AI21" i="5" l="1"/>
  <c r="AG23" i="5"/>
  <c r="AG24" i="5" l="1"/>
  <c r="AG25" i="5" s="1"/>
  <c r="AI22" i="5"/>
  <c r="AI23" i="5" l="1"/>
  <c r="AG26" i="5"/>
  <c r="AG27" i="5" l="1"/>
  <c r="AI24" i="5"/>
  <c r="AI25" i="5" l="1"/>
  <c r="AG28" i="5"/>
  <c r="AG29" i="5" l="1"/>
  <c r="AI26" i="5"/>
  <c r="AI27" i="5" l="1"/>
  <c r="AG30" i="5"/>
  <c r="AG31" i="5" l="1"/>
  <c r="AI28" i="5"/>
  <c r="AI29" i="5" l="1"/>
  <c r="AG35" i="5"/>
  <c r="AG36" i="5"/>
  <c r="AG37" i="5" s="1"/>
  <c r="AK31" i="5" l="1"/>
  <c r="AS32" i="5" s="1"/>
  <c r="AK24" i="5"/>
  <c r="AK15" i="5"/>
  <c r="AK14" i="5"/>
  <c r="AK13" i="5"/>
  <c r="AO13" i="5" s="1"/>
  <c r="AK16" i="5"/>
  <c r="AK17" i="5"/>
  <c r="AK18" i="5"/>
  <c r="AK19" i="5"/>
  <c r="AK20" i="5"/>
  <c r="AK21" i="5"/>
  <c r="AK22" i="5"/>
  <c r="AK23" i="5"/>
  <c r="AK25" i="5"/>
  <c r="AK26" i="5"/>
  <c r="AK27" i="5"/>
  <c r="AK28" i="5"/>
  <c r="AK29" i="5"/>
  <c r="AK30" i="5"/>
  <c r="AI30" i="5"/>
  <c r="AO31" i="5" l="1"/>
  <c r="AS31" i="5"/>
  <c r="AO28" i="5"/>
  <c r="AS28" i="5"/>
  <c r="AS23" i="5"/>
  <c r="AO23" i="5"/>
  <c r="AO19" i="5"/>
  <c r="AS19" i="5"/>
  <c r="AI31" i="5"/>
  <c r="AO27" i="5"/>
  <c r="AS27" i="5"/>
  <c r="AS22" i="5"/>
  <c r="AO22" i="5"/>
  <c r="AS18" i="5"/>
  <c r="AO18" i="5"/>
  <c r="AS14" i="5"/>
  <c r="AO14" i="5"/>
  <c r="AO30" i="5"/>
  <c r="AS30" i="5"/>
  <c r="AO26" i="5"/>
  <c r="AS26" i="5"/>
  <c r="AO21" i="5"/>
  <c r="AS21" i="5"/>
  <c r="AO17" i="5"/>
  <c r="AS17" i="5"/>
  <c r="AO15" i="5"/>
  <c r="AS15" i="5"/>
  <c r="AO29" i="5"/>
  <c r="AS29" i="5"/>
  <c r="AS25" i="5"/>
  <c r="AO25" i="5"/>
  <c r="AO20" i="5"/>
  <c r="AS20" i="5"/>
  <c r="AS16" i="5"/>
  <c r="AO16" i="5"/>
  <c r="AS24" i="5"/>
  <c r="AO24" i="5"/>
  <c r="AK35" i="5" l="1"/>
  <c r="AS34" i="5"/>
  <c r="AI36" i="5"/>
  <c r="AI37" i="5" s="1"/>
  <c r="AI35" i="5"/>
  <c r="AM13" i="5" l="1"/>
  <c r="AQ13" i="5" s="1"/>
  <c r="AM14" i="5"/>
  <c r="AM15" i="5"/>
  <c r="AM16" i="5"/>
  <c r="AM17" i="5"/>
  <c r="AM18" i="5"/>
  <c r="AM19" i="5"/>
  <c r="AM20" i="5"/>
  <c r="AM21" i="5"/>
  <c r="AM22" i="5"/>
  <c r="AM23" i="5"/>
  <c r="AM24" i="5"/>
  <c r="AM25" i="5"/>
  <c r="AM26" i="5"/>
  <c r="AM27" i="5"/>
  <c r="AM28" i="5"/>
  <c r="AM29" i="5"/>
  <c r="AM30" i="5"/>
  <c r="AM31" i="5"/>
  <c r="AU32" i="5" s="1"/>
  <c r="AQ31" i="5" l="1"/>
  <c r="AQ30" i="5"/>
  <c r="AU30" i="5"/>
  <c r="AQ28" i="5"/>
  <c r="AU28" i="5"/>
  <c r="AU24" i="5"/>
  <c r="AQ24" i="5"/>
  <c r="AU20" i="5"/>
  <c r="AQ20" i="5"/>
  <c r="AU16" i="5"/>
  <c r="AQ16" i="5"/>
  <c r="AU27" i="5"/>
  <c r="AQ27" i="5"/>
  <c r="AQ23" i="5"/>
  <c r="AU23" i="5"/>
  <c r="AQ19" i="5"/>
  <c r="AU19" i="5"/>
  <c r="AQ15" i="5"/>
  <c r="AU15" i="5"/>
  <c r="AU26" i="5"/>
  <c r="AQ26" i="5"/>
  <c r="AU22" i="5"/>
  <c r="AQ22" i="5"/>
  <c r="AU18" i="5"/>
  <c r="AQ18" i="5"/>
  <c r="AU14" i="5"/>
  <c r="C19" i="5" s="1"/>
  <c r="AQ14" i="5"/>
  <c r="AU31" i="5"/>
  <c r="AQ29" i="5"/>
  <c r="AU29" i="5"/>
  <c r="AQ25" i="5"/>
  <c r="AU25" i="5"/>
  <c r="AU21" i="5"/>
  <c r="AQ21" i="5"/>
  <c r="AQ17" i="5"/>
  <c r="AU17" i="5"/>
  <c r="AM35" i="5" l="1"/>
  <c r="AU34" i="5"/>
  <c r="E44" i="11" l="1"/>
  <c r="E45" i="11" s="1"/>
  <c r="G44" i="11"/>
  <c r="G45" i="11" s="1"/>
  <c r="G46" i="11" s="1"/>
  <c r="F44" i="11"/>
  <c r="F45" i="11" s="1"/>
  <c r="F46" i="11" l="1"/>
  <c r="D46" i="11"/>
  <c r="E46" i="11"/>
  <c r="I44" i="11"/>
  <c r="N44" i="11" s="1"/>
  <c r="N45" i="11" s="1"/>
  <c r="L44" i="11" l="1"/>
  <c r="L45" i="11" s="1"/>
  <c r="M44" i="11"/>
  <c r="M45" i="11" s="1"/>
  <c r="M46" i="11" s="1"/>
  <c r="I45" i="11"/>
  <c r="I46" i="11" s="1"/>
  <c r="K44" i="11"/>
  <c r="K45" i="11" s="1"/>
  <c r="L46" i="11" s="1"/>
  <c r="J44" i="11"/>
  <c r="J45" i="11" s="1"/>
  <c r="O46" i="11"/>
  <c r="J46" i="11" l="1"/>
  <c r="N46" i="11"/>
  <c r="K46" i="11"/>
</calcChain>
</file>

<file path=xl/comments1.xml><?xml version="1.0" encoding="utf-8"?>
<comments xmlns="http://schemas.openxmlformats.org/spreadsheetml/2006/main">
  <authors>
    <author>DFAS</author>
  </authors>
  <commentList>
    <comment ref="H8" authorId="0">
      <text>
        <r>
          <rPr>
            <b/>
            <sz val="9"/>
            <color indexed="81"/>
            <rFont val="Tahoma"/>
            <family val="2"/>
          </rPr>
          <t>DFAS:</t>
        </r>
        <r>
          <rPr>
            <sz val="9"/>
            <color indexed="81"/>
            <rFont val="Tahoma"/>
            <family val="2"/>
          </rPr>
          <t xml:space="preserve">
Select the state that the user would like to create a UI tax structure for, this includes the District of Columbia, Puerto Rico and the Virgin Islands.</t>
        </r>
      </text>
    </comment>
    <comment ref="H10" authorId="0">
      <text>
        <r>
          <rPr>
            <b/>
            <sz val="9"/>
            <color indexed="81"/>
            <rFont val="Tahoma"/>
            <family val="2"/>
          </rPr>
          <t>DFAS:</t>
        </r>
        <r>
          <rPr>
            <sz val="9"/>
            <color indexed="81"/>
            <rFont val="Tahoma"/>
            <family val="2"/>
          </rPr>
          <t xml:space="preserve">
Input the most recent  year for which the user would like to build a tax structure for.</t>
        </r>
      </text>
    </comment>
  </commentList>
</comments>
</file>

<file path=xl/comments2.xml><?xml version="1.0" encoding="utf-8"?>
<comments xmlns="http://schemas.openxmlformats.org/spreadsheetml/2006/main">
  <authors>
    <author>Amanda Y</author>
  </authors>
  <commentList>
    <comment ref="M14" authorId="0">
      <text>
        <r>
          <rPr>
            <b/>
            <sz val="9"/>
            <color indexed="81"/>
            <rFont val="Tahoma"/>
            <family val="2"/>
          </rPr>
          <t>Amanda Y:</t>
        </r>
        <r>
          <rPr>
            <sz val="9"/>
            <color indexed="81"/>
            <rFont val="Tahoma"/>
            <family val="2"/>
          </rPr>
          <t xml:space="preserve">
TAX WAGES</t>
        </r>
      </text>
    </comment>
    <comment ref="N14" authorId="0">
      <text>
        <r>
          <rPr>
            <b/>
            <sz val="9"/>
            <color indexed="81"/>
            <rFont val="Tahoma"/>
            <family val="2"/>
          </rPr>
          <t>Amanda Y:</t>
        </r>
        <r>
          <rPr>
            <sz val="9"/>
            <color indexed="81"/>
            <rFont val="Tahoma"/>
            <family val="2"/>
          </rPr>
          <t xml:space="preserve">
TOT WAGES</t>
        </r>
      </text>
    </comment>
    <comment ref="M16" authorId="0">
      <text>
        <r>
          <rPr>
            <b/>
            <sz val="9"/>
            <color indexed="81"/>
            <rFont val="Tahoma"/>
            <family val="2"/>
          </rPr>
          <t>Amanda Y:</t>
        </r>
        <r>
          <rPr>
            <sz val="9"/>
            <color indexed="81"/>
            <rFont val="Tahoma"/>
            <family val="2"/>
          </rPr>
          <t xml:space="preserve">
TAX WAGES</t>
        </r>
      </text>
    </comment>
    <comment ref="N16" authorId="0">
      <text>
        <r>
          <rPr>
            <b/>
            <sz val="9"/>
            <color indexed="81"/>
            <rFont val="Tahoma"/>
            <family val="2"/>
          </rPr>
          <t>Amanda Y:</t>
        </r>
        <r>
          <rPr>
            <sz val="9"/>
            <color indexed="81"/>
            <rFont val="Tahoma"/>
            <family val="2"/>
          </rPr>
          <t xml:space="preserve">
TOT WAGES</t>
        </r>
      </text>
    </comment>
  </commentList>
</comments>
</file>

<file path=xl/sharedStrings.xml><?xml version="1.0" encoding="utf-8"?>
<sst xmlns="http://schemas.openxmlformats.org/spreadsheetml/2006/main" count="4348" uniqueCount="355">
  <si>
    <t>Year</t>
  </si>
  <si>
    <t>State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</si>
  <si>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</si>
  <si>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</si>
  <si>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</si>
  <si>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</si>
  <si>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</si>
  <si>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</si>
  <si>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</si>
  <si>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</si>
  <si>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</si>
  <si>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</si>
  <si>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</si>
  <si>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</si>
  <si>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</si>
  <si>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</si>
  <si>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</si>
  <si>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</si>
  <si>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</si>
  <si>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</si>
  <si>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</si>
  <si>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</si>
  <si>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</si>
  <si>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</si>
  <si>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</si>
  <si>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</si>
  <si>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</si>
  <si>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</si>
  <si>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</si>
  <si>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</si>
  <si>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</si>
  <si>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</si>
  <si>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</si>
  <si>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</si>
  <si>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</si>
  <si>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</si>
  <si>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</si>
  <si>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</si>
  <si>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</si>
  <si>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</si>
  <si>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</si>
  <si>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</si>
  <si>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</si>
  <si>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</si>
  <si>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</si>
  <si>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</si>
  <si>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</si>
  <si>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</si>
  <si>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</si>
  <si>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VI</t>
  </si>
  <si>
    <t>VT</t>
  </si>
  <si>
    <t>WA</t>
  </si>
  <si>
    <t>WI</t>
  </si>
  <si>
    <t>WV</t>
  </si>
  <si>
    <t>WY</t>
  </si>
  <si>
    <t>Total Wages in CE</t>
  </si>
  <si>
    <t>Taxable Wages in CE</t>
  </si>
  <si>
    <t>Total Benefits Paid (000)</t>
  </si>
  <si>
    <t>Reserves as of Dec 31</t>
  </si>
  <si>
    <t>Loans</t>
  </si>
  <si>
    <t>Avg. Employer Tax Rate as % of Tax Wages</t>
  </si>
  <si>
    <t>AHCR</t>
  </si>
  <si>
    <t>ALASKA</t>
  </si>
  <si>
    <t>ALABAMA</t>
  </si>
  <si>
    <t>ARKANSAS</t>
  </si>
  <si>
    <t>ARIZONA</t>
  </si>
  <si>
    <t>CALIFORNIA</t>
  </si>
  <si>
    <t>COLORADO</t>
  </si>
  <si>
    <t>CONNECTICUT</t>
  </si>
  <si>
    <t>DISTRICT OF COLUMBIA</t>
  </si>
  <si>
    <t>DELAWARE</t>
  </si>
  <si>
    <t>FLORIDA</t>
  </si>
  <si>
    <t>GEORGIA</t>
  </si>
  <si>
    <t>HAWAII</t>
  </si>
  <si>
    <t>IOWA</t>
  </si>
  <si>
    <t>IDAHO</t>
  </si>
  <si>
    <t>ILLINOIS</t>
  </si>
  <si>
    <t>INDIANA</t>
  </si>
  <si>
    <t>KANSAS</t>
  </si>
  <si>
    <t>KENTUCKY</t>
  </si>
  <si>
    <t>LOUISIANA</t>
  </si>
  <si>
    <t>MASSACHUSETTS</t>
  </si>
  <si>
    <t>MARYLAND</t>
  </si>
  <si>
    <t>MAINE</t>
  </si>
  <si>
    <t>MICHIGAN</t>
  </si>
  <si>
    <t>MINNESOTA</t>
  </si>
  <si>
    <t>MISSOURI</t>
  </si>
  <si>
    <t>MISSISSIPPI</t>
  </si>
  <si>
    <t>MONTANA</t>
  </si>
  <si>
    <t>NORTH CAROLINA</t>
  </si>
  <si>
    <t>NORTH DAKOTA</t>
  </si>
  <si>
    <t>NEBRASKA</t>
  </si>
  <si>
    <t>NEW HAMPSHIRE</t>
  </si>
  <si>
    <t>NEW JERSEY</t>
  </si>
  <si>
    <t>NEW MEXICO</t>
  </si>
  <si>
    <t>NEVADA</t>
  </si>
  <si>
    <t>NEW YORK</t>
  </si>
  <si>
    <t>OHIO</t>
  </si>
  <si>
    <t>OKLAHOMA</t>
  </si>
  <si>
    <t>OREGON</t>
  </si>
  <si>
    <t>PENNSYLVANIA</t>
  </si>
  <si>
    <t>PUERTO RICO</t>
  </si>
  <si>
    <t>RHODE ISLAND</t>
  </si>
  <si>
    <t>SOUTH CAROLINA</t>
  </si>
  <si>
    <t>SOUTH DAKOTA</t>
  </si>
  <si>
    <t>TENNESSEE</t>
  </si>
  <si>
    <t>TEXAS</t>
  </si>
  <si>
    <t>UTAH</t>
  </si>
  <si>
    <t>VIRGINIA</t>
  </si>
  <si>
    <t>VIRGIN ISLANDS</t>
  </si>
  <si>
    <t>VERMONT</t>
  </si>
  <si>
    <t>WASHINGTON</t>
  </si>
  <si>
    <t>WISCONSIN</t>
  </si>
  <si>
    <t>WEST VIRGINIA</t>
  </si>
  <si>
    <t>WYOMING</t>
  </si>
  <si>
    <t>YRS:</t>
  </si>
  <si>
    <t>YR:</t>
  </si>
  <si>
    <t>CHOICE:</t>
  </si>
  <si>
    <t>STATE:</t>
  </si>
  <si>
    <t>SUM BENS:</t>
  </si>
  <si>
    <t>Ratio (Bens/TaxWages)</t>
  </si>
  <si>
    <t>TF</t>
  </si>
  <si>
    <t>BEN RATE:</t>
  </si>
  <si>
    <t>Contributions</t>
  </si>
  <si>
    <t>SUM TAX WAGES (000):</t>
  </si>
  <si>
    <t xml:space="preserve"> </t>
  </si>
  <si>
    <t>CALCULATION</t>
  </si>
  <si>
    <t>INPUTS:</t>
  </si>
  <si>
    <t>Ratio (Bens/TotalWages)</t>
  </si>
  <si>
    <t>This tool allows a user to derive a series of tax table average tax rates (financing rates)</t>
  </si>
  <si>
    <t>Below</t>
  </si>
  <si>
    <t>Above</t>
  </si>
  <si>
    <t>Base</t>
  </si>
  <si>
    <t>Input Desired Tax Schedule Parameters</t>
  </si>
  <si>
    <t>Schedule</t>
  </si>
  <si>
    <t xml:space="preserve">     (2 = Set Responsiveness Rate Between Schedules)</t>
  </si>
  <si>
    <t xml:space="preserve">     (3 = Set Fixed Gap Closing Rate)</t>
  </si>
  <si>
    <t>Simulation Inputs</t>
  </si>
  <si>
    <t>Lower AHCM in Trigger Range</t>
  </si>
  <si>
    <t>min/max solvency add-on</t>
  </si>
  <si>
    <t>Solvency Add-on -- Method 1</t>
  </si>
  <si>
    <t>Solvency Add-on -- Method 2</t>
  </si>
  <si>
    <t>Solvency Add-on -- Method 3</t>
  </si>
  <si>
    <t>differences between base trigger and max/min trigger</t>
  </si>
  <si>
    <t>Gap Closing Percentages</t>
  </si>
  <si>
    <t>min/max add-on at 50% avg gap closing</t>
  </si>
  <si>
    <t>final min/max add-on</t>
  </si>
  <si>
    <t>add-on increment</t>
  </si>
  <si>
    <t>Final solvency add-on</t>
  </si>
  <si>
    <t>OUTPUT</t>
  </si>
  <si>
    <t>Tax Table</t>
  </si>
  <si>
    <t>A</t>
  </si>
  <si>
    <t>Upper AHCM in Trigger Range</t>
  </si>
  <si>
    <t>Revenue change/balance change</t>
  </si>
  <si>
    <t>Gap Closing Percentage</t>
  </si>
  <si>
    <t>Beginning</t>
  </si>
  <si>
    <t>Ending</t>
  </si>
  <si>
    <t>AHCM</t>
  </si>
  <si>
    <t>Revenues</t>
  </si>
  <si>
    <t>Benefits</t>
  </si>
  <si>
    <t>Year 0</t>
  </si>
  <si>
    <t>Year 1</t>
  </si>
  <si>
    <t>Year 2</t>
  </si>
  <si>
    <t>Year 3</t>
  </si>
  <si>
    <t>Year 4</t>
  </si>
  <si>
    <t>Year 5</t>
  </si>
  <si>
    <t>Year 6</t>
  </si>
  <si>
    <t>Year 7</t>
  </si>
  <si>
    <t>Year 8</t>
  </si>
  <si>
    <t>Year 9</t>
  </si>
  <si>
    <t>Year 10</t>
  </si>
  <si>
    <t>For State:</t>
  </si>
  <si>
    <t xml:space="preserve">Calculations for Tax Structure Model </t>
  </si>
  <si>
    <t>Using Data from Data Tab</t>
  </si>
  <si>
    <t>ABB</t>
  </si>
  <si>
    <t>State:</t>
  </si>
  <si>
    <t>AHCR (%)</t>
  </si>
  <si>
    <t>Tax Table Diagnostics</t>
  </si>
  <si>
    <t>Methodology Used to Calculate Tax Schedule Parameters</t>
  </si>
  <si>
    <t>Tax Table Parameters</t>
  </si>
  <si>
    <r>
      <rPr>
        <sz val="14"/>
        <color theme="1"/>
        <rFont val="Calibri"/>
        <family val="2"/>
        <scheme val="minor"/>
      </rPr>
      <t xml:space="preserve">Trigger Ranges:  </t>
    </r>
    <r>
      <rPr>
        <sz val="11"/>
        <color theme="1"/>
        <rFont val="Calibri"/>
        <family val="2"/>
        <scheme val="minor"/>
      </rPr>
      <t xml:space="preserve">              Lower AHCM in Trigger Range</t>
    </r>
  </si>
  <si>
    <t>Tax System Simulation</t>
  </si>
  <si>
    <t>in Effect</t>
  </si>
  <si>
    <t>Desired Number of Tax Schedules:</t>
  </si>
  <si>
    <t>Simulation Results</t>
  </si>
  <si>
    <t xml:space="preserve">                                 Calculation of Employer Tax Rates</t>
  </si>
  <si>
    <t xml:space="preserve">This tool allows a user to derive a set of individual tax rates for groups of employers based on  </t>
  </si>
  <si>
    <t xml:space="preserve"> inputting a minimum tax rate, a maximum tax rate and the desired average level of financing for the set of rates.</t>
  </si>
  <si>
    <t>Lowest</t>
  </si>
  <si>
    <t>Highest</t>
  </si>
  <si>
    <t>% of</t>
  </si>
  <si>
    <t>100% range</t>
  </si>
  <si>
    <t>Employer Tax Rates</t>
  </si>
  <si>
    <t>Tax Rate</t>
  </si>
  <si>
    <t>Taxable</t>
  </si>
  <si>
    <t>lower</t>
  </si>
  <si>
    <t>upper</t>
  </si>
  <si>
    <t>prelim</t>
  </si>
  <si>
    <t>Inputs</t>
  </si>
  <si>
    <t>(Lowest Tax Rates)</t>
  </si>
  <si>
    <t>(Highest Tax Rates)</t>
  </si>
  <si>
    <t>Interval</t>
  </si>
  <si>
    <t>Wages</t>
  </si>
  <si>
    <t>limit</t>
  </si>
  <si>
    <t>group</t>
  </si>
  <si>
    <t>factor</t>
  </si>
  <si>
    <t>adj</t>
  </si>
  <si>
    <t>rounded</t>
  </si>
  <si>
    <t>increm.</t>
  </si>
  <si>
    <r>
      <t xml:space="preserve">Minimum Tax Rate </t>
    </r>
    <r>
      <rPr>
        <sz val="14"/>
        <color theme="1"/>
        <rFont val="Calibri"/>
        <family val="2"/>
        <scheme val="minor"/>
      </rPr>
      <t>(% of Taxable Wages)</t>
    </r>
  </si>
  <si>
    <r>
      <t xml:space="preserve">Maximum Tax Rate </t>
    </r>
    <r>
      <rPr>
        <sz val="14"/>
        <color theme="1"/>
        <rFont val="Calibri"/>
        <family val="2"/>
        <scheme val="minor"/>
      </rPr>
      <t>(% of Taxable Wages)</t>
    </r>
  </si>
  <si>
    <t>DFAS Tax Structure Model Step 4</t>
  </si>
  <si>
    <t>ADEQUATE FINANCING RATE:</t>
  </si>
  <si>
    <t>MAXIMUM LEVEL OF TRUST FUND SOLVENCY:</t>
  </si>
  <si>
    <r>
      <t>**(</t>
    </r>
    <r>
      <rPr>
        <b/>
        <sz val="14"/>
        <color rgb="FFFF0000"/>
        <rFont val="Calibri"/>
        <family val="2"/>
        <scheme val="minor"/>
      </rPr>
      <t xml:space="preserve">0.5 </t>
    </r>
    <r>
      <rPr>
        <b/>
        <sz val="14"/>
        <color theme="1"/>
        <rFont val="Calibri"/>
        <family val="2"/>
        <scheme val="minor"/>
      </rPr>
      <t xml:space="preserve">to </t>
    </r>
    <r>
      <rPr>
        <b/>
        <sz val="14"/>
        <color rgb="FFFF0000"/>
        <rFont val="Calibri"/>
        <family val="2"/>
        <scheme val="minor"/>
      </rPr>
      <t>3.0</t>
    </r>
    <r>
      <rPr>
        <b/>
        <sz val="14"/>
        <color theme="1"/>
        <rFont val="Calibri"/>
        <family val="2"/>
        <scheme val="minor"/>
      </rPr>
      <t xml:space="preserve"> AHCM)**</t>
    </r>
  </si>
  <si>
    <t>DESIRED LEVEL OF TRUST FUND SOLVENCY:</t>
  </si>
  <si>
    <t>YEAR OF AFR CALCULATION:</t>
  </si>
  <si>
    <t>STATE ADEQUATE FINANCING RATE CALCULATOR</t>
  </si>
  <si>
    <t>AFR:</t>
  </si>
  <si>
    <t>ATR:</t>
  </si>
  <si>
    <t>SOLVENCY RATE (%):</t>
  </si>
  <si>
    <t>SOLVENCY RATE:</t>
  </si>
  <si>
    <t>AHCM:</t>
  </si>
  <si>
    <t>CALCULATION:</t>
  </si>
  <si>
    <t>MAX LVL:</t>
  </si>
  <si>
    <t>LVL:</t>
  </si>
  <si>
    <t xml:space="preserve">  to </t>
  </si>
  <si>
    <t>Base Financing Rate (% of Taxable Wages):</t>
  </si>
  <si>
    <t>Target range for the trust fund balance.</t>
  </si>
  <si>
    <t>Triggers for Lowest/Highest Financing Rates (AHCM):</t>
  </si>
  <si>
    <t xml:space="preserve">     (1 = Set Minimum and Maximum Financing Rates)</t>
  </si>
  <si>
    <t>Balance change between schedules (% of taxable wages)</t>
  </si>
  <si>
    <t>Gap Between Current and Target Balance (% of taxable wages)</t>
  </si>
  <si>
    <t>Solvency Add-on -- Method 4 (inoperative)</t>
  </si>
  <si>
    <t>Base Financing Rate:</t>
  </si>
  <si>
    <t>No. of Tax Schedules:</t>
  </si>
  <si>
    <t>State Avg. High Cost Rate:</t>
  </si>
  <si>
    <t>Implied Reserve Ratio (% of taxable wages) -- Lower Trigger</t>
  </si>
  <si>
    <t>Implied Reserve Ratio (% of taxable wages) -- Upper Trigger</t>
  </si>
  <si>
    <t>Base Financing Rate (% of taxable wages)</t>
  </si>
  <si>
    <t>Solvency Add-on (% of taxable wages)</t>
  </si>
  <si>
    <t>Midpoint of trigger range (% of taxable wages)</t>
  </si>
  <si>
    <t>Financing Rate change between schedules (% of taxable wages)</t>
  </si>
  <si>
    <t>Maximum Financing Rate as % of Base financing Rate</t>
  </si>
  <si>
    <t>Minimum Financing Rate as % of Base Financing Rate</t>
  </si>
  <si>
    <t>Reserves</t>
  </si>
  <si>
    <t xml:space="preserve">      % of Taxable Wages      </t>
  </si>
  <si>
    <t>as % of</t>
  </si>
  <si>
    <t>Tax. Wag.</t>
  </si>
  <si>
    <t>Number of Years to Reach Target Balance Range from Starting AHCM:</t>
  </si>
  <si>
    <t>Also, a corresponding set of solvency triggers that would activate the financing rates are derived.</t>
  </si>
  <si>
    <t>Ratio of tax/tot wages</t>
  </si>
  <si>
    <t>DFAS Tax Structure Model Step 1</t>
  </si>
  <si>
    <t>DFAS Tax Structure Model Step 2 and Step 3</t>
  </si>
  <si>
    <t>Adjustment</t>
  </si>
  <si>
    <r>
      <t xml:space="preserve">to </t>
    </r>
    <r>
      <rPr>
        <b/>
        <sz val="14"/>
        <color rgb="FFFF0000"/>
        <rFont val="Calibri"/>
        <family val="2"/>
        <scheme val="minor"/>
      </rPr>
      <t>3.0</t>
    </r>
    <r>
      <rPr>
        <b/>
        <sz val="14"/>
        <rFont val="Calibri"/>
        <family val="2"/>
        <scheme val="minor"/>
      </rPr>
      <t xml:space="preserve"> AHCM)**</t>
    </r>
  </si>
  <si>
    <t>This spreadsheet model was developed to assist state analysts in building or evaluating a state Unemployment Insurance Tax system.  There are worksheets for each of the four steps</t>
  </si>
  <si>
    <t>The model calculates two benefit cost rates, one as a percent of total wages and the other as a percent of taxable wages.</t>
  </si>
  <si>
    <t>BCR -- Total wages</t>
  </si>
  <si>
    <t>%</t>
  </si>
  <si>
    <t>BCR -- Taxable wages</t>
  </si>
  <si>
    <t>TAXABLE WAGES (000):</t>
  </si>
  <si>
    <t>Prior Year</t>
  </si>
  <si>
    <t>TOTAL WAGES (000):</t>
  </si>
  <si>
    <r>
      <t>S</t>
    </r>
    <r>
      <rPr>
        <b/>
        <sz val="10"/>
        <color theme="1"/>
        <rFont val="Calibri"/>
        <family val="2"/>
        <scheme val="minor"/>
      </rPr>
      <t>U</t>
    </r>
    <r>
      <rPr>
        <b/>
        <sz val="11"/>
        <color theme="1"/>
        <rFont val="Calibri"/>
        <family val="2"/>
        <scheme val="minor"/>
      </rPr>
      <t>M BENS:</t>
    </r>
  </si>
  <si>
    <t>BCR (Taxable Wages):</t>
  </si>
  <si>
    <t>NUMBER OF YEARS OF</t>
  </si>
  <si>
    <t>BENEFITS TO USE FOR AFR:</t>
  </si>
  <si>
    <t>Number of Years of Benefits to Use for Calculation:</t>
  </si>
  <si>
    <t>Taxable/Total Wage Ratio Option (1=Current Ratio, 2=User-estimated Ratio):</t>
  </si>
  <si>
    <t>User-estimated Ratio:</t>
  </si>
  <si>
    <t>Tax/Tot Option</t>
  </si>
  <si>
    <t>User-estimated tax/tot</t>
  </si>
  <si>
    <t>The user inputs the state name (which carries over to Steps 2 and 3), the year for which the base financing rate is to be calculated,</t>
  </si>
  <si>
    <t>Step</t>
  </si>
  <si>
    <t>Step 1</t>
  </si>
  <si>
    <t>Step 2</t>
  </si>
  <si>
    <t>Step 3</t>
  </si>
  <si>
    <t>Step 4</t>
  </si>
  <si>
    <t>Step 1 Base Rate Calculator</t>
  </si>
  <si>
    <t>Worksheet</t>
  </si>
  <si>
    <t>to a percent of taxable wages, the user has the option of using the most recent ratio of taxable to total wages or specifying another</t>
  </si>
  <si>
    <t>value (e.g. if the user wants to test a change in the state's taxable wage base).</t>
  </si>
  <si>
    <t>Step 2-3 Avg Rate and Trig Calc</t>
  </si>
  <si>
    <t>Step 4 Calc Employer Tax Rates</t>
  </si>
  <si>
    <t>AFR</t>
  </si>
  <si>
    <t>AFR Calculator</t>
  </si>
  <si>
    <t xml:space="preserve">another value determined by the user.  The user also inputs the trust fund balance target range (using the AHCM as a measure). </t>
  </si>
  <si>
    <t>The model triggers the Base Financing Rate when the AHCM falls within the target range.  This is the starting point for developing a</t>
  </si>
  <si>
    <t>lowest financing rates and chooses an option for calculating the range of financing rates.  Under Option 1, the user inputs the desired</t>
  </si>
  <si>
    <t>below the base.  Under Option 3, the user inputs the desired gap-closing proportions for financing rates above and below the base.</t>
  </si>
  <si>
    <t>The model calculates equal-width trigger intervals based on the desired number of financing rates and the desired minimum and</t>
  </si>
  <si>
    <t xml:space="preserve">Select Calculation for Deriving Financing Rates (1- 3): </t>
  </si>
  <si>
    <t>maximum triggers.  Based on the selected option, the model calculates a range of financing rates.  Under Option 1, the model</t>
  </si>
  <si>
    <t>calculates solvency add-ons with equal increments between the base schedule and the highest and lowest schedules.  Under Option 2,</t>
  </si>
  <si>
    <t>Under Option 2, the model computes solvency add-ons such that the ratio of the change in revenues to the change in fund balance</t>
  </si>
  <si>
    <t>between schedules is constant across financing rates.  Under Option 3, the model computes solvency add-ons such that the proportion</t>
  </si>
  <si>
    <t>The model computes the AFR, which can be compared to the state's average tax rate for the year.</t>
  </si>
  <si>
    <t>range of financing rates and triggers.</t>
  </si>
  <si>
    <t>The user inputs the desired number of tax schedules or financing rates above and below the base and the AHCM triggers for the highest and</t>
  </si>
  <si>
    <t>minimum and maximum financing rates.  Under Option 2, the user inputs the desired between-schedules responsiveness rates above and</t>
  </si>
  <si>
    <t>The number of schedules below the base schedule can range from 1 to 4.  The number of schedules above the base schedule can range from 1 to 7.</t>
  </si>
  <si>
    <t>The user sets the AHCMs to trigger the lowest and highest financing rates.  The model calculates the intermediate trigger points.  These parameters are only operative when there is more than one schedule below and/or above the base schedule.  The lowest trigger cannot be negative.</t>
  </si>
  <si>
    <t>Input Average Tax Rate:</t>
  </si>
  <si>
    <t>Final Average Tax Rate:</t>
  </si>
  <si>
    <t>Simulation</t>
  </si>
  <si>
    <t xml:space="preserve">Beginning Average High Cost Multiple </t>
  </si>
  <si>
    <t xml:space="preserve">Average Benefit Cost Rate (% of Taxable Wages) </t>
  </si>
  <si>
    <t>This application will test the adequacy of the newly created tax table, in terms of the level of trust fund</t>
  </si>
  <si>
    <t>The user only needs to input the starting trust fund level (in the form of an Average High Cost Multiple)</t>
  </si>
  <si>
    <t xml:space="preserve">     solvency it will provide under various levels of benefits costs. The simulation measures the number of</t>
  </si>
  <si>
    <t xml:space="preserve">     years needed to reach the target balance from a specified beginning balance.</t>
  </si>
  <si>
    <t xml:space="preserve">     and the average level of benefit costs to be simulated over the 10-year period.</t>
  </si>
  <si>
    <t>The user inputs the beginning AHCM for the simulation and the average BCR on taxable wages to be simulated.</t>
  </si>
  <si>
    <t>The model simulates the operation of the tax system from Steps 2 and 3 and determines how many years it would take to reach</t>
  </si>
  <si>
    <t>the target balance under the chosen benefit scenario.</t>
  </si>
  <si>
    <t>Maximum Financing Rate (total wages) as % of AHCR</t>
  </si>
  <si>
    <t>Financing Rate (% of total wages)</t>
  </si>
  <si>
    <t>(% of taxable wages)</t>
  </si>
  <si>
    <t>(% of total wages)</t>
  </si>
  <si>
    <t>maximum increment</t>
  </si>
  <si>
    <t>minimum tax rate for low schedule</t>
  </si>
  <si>
    <t>check increments</t>
  </si>
  <si>
    <t>in tax system construction described in Section A of the accompanying Technical Guide.  There is also a worksheet that calculates an Adequate Financing Rate.</t>
  </si>
  <si>
    <t>minimum and maximum AHCMs.</t>
  </si>
  <si>
    <t>The user inputs the state name, the year for which the AFR is to be calculated, the number of years of benefits to use, and the desired</t>
  </si>
  <si>
    <t>and the number of years to be included in the long-run benefit cost rate (BCR).  To convert the BCR from a percent of total wages</t>
  </si>
  <si>
    <t>The user inputs the Base Financing Rate, which may be the long-run benefit cost rate on taxable wages as determined in Step 1 or</t>
  </si>
  <si>
    <t>Base Financing Rate Calculator</t>
  </si>
  <si>
    <t>starting Base Financing Rate for building a UI tax structure.</t>
  </si>
  <si>
    <t>Year Of Base Financing Rate Calculation:</t>
  </si>
  <si>
    <t>Derivation of Total Financing Rates (Above and Below the Base Rate) and Their Triggers</t>
  </si>
  <si>
    <t>above and below the Base Financing Rate  that are based on the solvency level of the State's trust fund.</t>
  </si>
  <si>
    <t>Long-run average Benefit Cost Rate to be funded.</t>
  </si>
  <si>
    <t>Total Financing Rate (% of taxable wages)</t>
  </si>
  <si>
    <t>Balance</t>
  </si>
  <si>
    <t xml:space="preserve">Accompanying Model to the Technical Guide for the Construction and Analysis </t>
  </si>
  <si>
    <t>of State Unemployment Insurance Financing Structures</t>
  </si>
  <si>
    <t>Directions for Use of the State Tax Structure Model Tool</t>
  </si>
  <si>
    <t>Directions</t>
  </si>
  <si>
    <t>The model first calculates a set of 20 tax rate adjustment factors to be applied to a 20-group array.  The factors average to 100%.  The resulting rates</t>
  </si>
  <si>
    <t>are adjusted if necessary so that the maximum rate is at least 5.4% and increments between rates do not exceed 0.9%.  The final step is to</t>
  </si>
  <si>
    <t>proportionally increase or decrease the adjusted rates so they average to the desired average financing rate.</t>
  </si>
  <si>
    <t>This calculator derives the long-run average benefit cost rate in a state which is then used as the</t>
  </si>
  <si>
    <t>Solvency Level Target Range (AHCM, High-Low):</t>
  </si>
  <si>
    <t>Factor</t>
  </si>
  <si>
    <r>
      <t xml:space="preserve">Financing Rate </t>
    </r>
    <r>
      <rPr>
        <sz val="14"/>
        <color theme="1"/>
        <rFont val="Calibri"/>
        <family val="2"/>
        <scheme val="minor"/>
      </rPr>
      <t>(% of Taxable Wages)</t>
    </r>
  </si>
  <si>
    <t>to compute the individual group rates.</t>
  </si>
  <si>
    <t>This derivation is based on deriving a set of adjustment factors that are multiplied by the financing rate (average tax rate)</t>
  </si>
  <si>
    <t>The user inputs the financing rate (average tax rate) and the minimum and maximum tax rates for the base schedule, as well as</t>
  </si>
  <si>
    <t>desired financing rates for the lowest and highest schedules.</t>
  </si>
  <si>
    <t>of the trust fund gap closed by each schedule is the same.  (See page 19 in the Guide for a discussion of these options.)</t>
  </si>
  <si>
    <t>In this option, the user sets the minimum and maximum financing rates and the model calculates intermediate financing rates with equal increments between rates. (See p. 19 in the Guide.)</t>
  </si>
  <si>
    <t>In this option, the user sets the responsiveness rate (change in revenues as a % of change in balance) and the model calculates the financing rates, including the minimum and maximum rates. (See p. 19 in the Guide.)</t>
  </si>
  <si>
    <t>In this option, the user sets the gap-closing percentage to be applied to all schedules.  The model computes the financing rates. (See p. 19 in the Guide)</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</si>
</sst>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0.000"/>
    <numFmt numFmtId="165" formatCode="#,##0.000000"/>
    <numFmt numFmtId="166" formatCode="0.000%"/>
    <numFmt numFmtId="167" formatCode="0.000"/>
    <numFmt numFmtId="168" formatCode="0.0%"/>
    <numFmt numFmtId="169" formatCode="0.0"/>
    <numFmt numFmtId="170" formatCode="0.00000"/>
    <numFmt numFmtId="171" formatCode="#,##0.0000"/>
    <numFmt numFmtId="172" formatCode="#,##0.000000000"/>
    <numFmt numFmtId="173" formatCode="0.0000000"/>
    <numFmt numFmtId="174" formatCode="0.0000%"/>
  </numFmts>
  <fonts count="37" x14ac:knownFonts="1">
    <font>
      <sz val="11"/>
      <color theme="1"/>
      <name val="Calibri"/>
      <family val="2"/>
      <scheme val="minor"/>
    </font>
    <font>
      <b/>
      <sz val="11"/>
      <color theme="1"/>
      <name val="Calibri"/>
      <family val="2"/>
      <scheme val="minor"/>
    </font>
    <font>
      <b/>
      <sz val="26"/>
      <color theme="1"/>
      <name val="Lucida Sans"/>
      <family val="2"/>
    </font>
    <font>
      <b/>
      <sz val="14"/>
      <color theme="1"/>
      <name val="Calibri"/>
      <family val="2"/>
      <scheme val="minor"/>
    </font>
    <font>
      <b/>
      <sz val="16"/>
      <color theme="1"/>
      <name val="Calibri"/>
      <family val="2"/>
      <scheme val="minor"/>
    </font>
    <font>
      <sz val="18"/>
      <color theme="1"/>
      <name val="Calibri"/>
      <family val="2"/>
      <scheme val="minor"/>
    </font>
    <font>
      <b/>
      <sz val="20"/>
      <color theme="1"/>
      <name val="Calibri"/>
      <family val="2"/>
      <scheme val="minor"/>
    </font>
    <font>
      <b/>
      <sz val="20"/>
      <color rgb="FF0000FF"/>
      <name val="Calibri"/>
      <family val="2"/>
      <scheme val="minor"/>
    </font>
    <font>
      <b/>
      <u/>
      <sz val="11"/>
      <color theme="1"/>
      <name val="Calibri"/>
      <family val="2"/>
      <scheme val="minor"/>
    </font>
    <font>
      <sz val="11"/>
      <color rgb="FFFF0000"/>
      <name val="Calibri"/>
      <family val="2"/>
      <scheme val="minor"/>
    </font>
    <font>
      <sz val="12"/>
      <color theme="1"/>
      <name val="Calibri"/>
      <family val="2"/>
      <scheme val="minor"/>
    </font>
    <font>
      <sz val="14"/>
      <color theme="1"/>
      <name val="Calibri"/>
      <family val="2"/>
      <scheme val="minor"/>
    </font>
    <font>
      <b/>
      <sz val="11"/>
      <color theme="1"/>
      <name val="Lucida Sans"/>
      <family val="2"/>
    </font>
    <font>
      <b/>
      <u/>
      <sz val="16"/>
      <color theme="1"/>
      <name val="Calibri"/>
      <family val="2"/>
      <scheme val="minor"/>
    </font>
    <font>
      <u/>
      <sz val="11"/>
      <color theme="1"/>
      <name val="Calibri"/>
      <family val="2"/>
      <scheme val="minor"/>
    </font>
    <font>
      <b/>
      <sz val="12"/>
      <color theme="1"/>
      <name val="Calibri"/>
      <family val="2"/>
      <scheme val="minor"/>
    </font>
    <font>
      <b/>
      <sz val="18"/>
      <color theme="1"/>
      <name val="Calibri"/>
      <family val="2"/>
      <scheme val="minor"/>
    </font>
    <font>
      <b/>
      <sz val="22"/>
      <color theme="1"/>
      <name val="Calibri"/>
      <family val="2"/>
      <scheme val="minor"/>
    </font>
    <font>
      <b/>
      <u/>
      <sz val="14"/>
      <color theme="1"/>
      <name val="Calibri"/>
      <family val="2"/>
      <scheme val="minor"/>
    </font>
    <font>
      <u/>
      <sz val="12"/>
      <color theme="1"/>
      <name val="Calibri"/>
      <family val="2"/>
      <scheme val="minor"/>
    </font>
    <font>
      <sz val="12"/>
      <name val="Calibri"/>
      <family val="2"/>
      <scheme val="minor"/>
    </font>
    <font>
      <sz val="11"/>
      <name val="Calibri"/>
      <family val="2"/>
      <scheme val="minor"/>
    </font>
    <font>
      <sz val="16"/>
      <color theme="1"/>
      <name val="Calibri"/>
      <family val="2"/>
      <scheme val="minor"/>
    </font>
    <font>
      <u/>
      <sz val="14"/>
      <color theme="1"/>
      <name val="Calibri"/>
      <family val="2"/>
      <scheme val="minor"/>
    </font>
    <font>
      <b/>
      <sz val="24"/>
      <color theme="1"/>
      <name val="Calibri"/>
      <family val="2"/>
      <scheme val="minor"/>
    </font>
    <font>
      <b/>
      <sz val="14"/>
      <color rgb="FFFF0000"/>
      <name val="Calibri"/>
      <family val="2"/>
      <scheme val="minor"/>
    </font>
    <font>
      <sz val="18"/>
      <name val="Calibri"/>
      <family val="2"/>
      <scheme val="minor"/>
    </font>
    <font>
      <b/>
      <u/>
      <sz val="18"/>
      <color theme="1"/>
      <name val="Calibri"/>
      <family val="2"/>
      <scheme val="minor"/>
    </font>
    <font>
      <b/>
      <sz val="11"/>
      <color rgb="FFFF0000"/>
      <name val="Calibri"/>
      <family val="2"/>
      <scheme val="minor"/>
    </font>
    <font>
      <b/>
      <sz val="14"/>
      <name val="Calibri"/>
      <family val="2"/>
      <scheme val="minor"/>
    </font>
    <font>
      <b/>
      <sz val="9"/>
      <color indexed="81"/>
      <name val="Tahoma"/>
      <family val="2"/>
    </font>
    <font>
      <sz val="9"/>
      <color indexed="81"/>
      <name val="Tahoma"/>
      <family val="2"/>
    </font>
    <font>
      <sz val="16"/>
      <color theme="1"/>
      <name val="Arial Black"/>
      <family val="2"/>
    </font>
    <font>
      <b/>
      <sz val="10"/>
      <color theme="1"/>
      <name val="Calibri"/>
      <family val="2"/>
      <scheme val="minor"/>
    </font>
    <font>
      <b/>
      <u/>
      <sz val="22"/>
      <color theme="1"/>
      <name val="Calibri"/>
      <family val="2"/>
      <scheme val="minor"/>
    </font>
    <font>
      <b/>
      <sz val="12"/>
      <color rgb="FFFF0000"/>
      <name val="Calibri"/>
      <family val="2"/>
      <scheme val="minor"/>
    </font>
    <font>
      <sz val="13"/>
      <color theme="1"/>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92D050"/>
        <bgColor indexed="64"/>
      </patternFill>
    </fill>
    <fill>
      <patternFill patternType="solid">
        <fgColor theme="5" tint="0.59996337778862885"/>
        <bgColor indexed="64"/>
      </patternFill>
    </fill>
    <fill>
      <patternFill patternType="solid">
        <fgColor rgb="FFFF0000"/>
        <bgColor indexed="64"/>
      </patternFill>
    </fill>
    <fill>
      <patternFill patternType="solid">
        <fgColor theme="6" tint="0.39994506668294322"/>
        <bgColor indexed="64"/>
      </patternFill>
    </fill>
    <fill>
      <patternFill patternType="solid">
        <fgColor theme="6" tint="0.599963377788628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0000FF"/>
        <bgColor indexed="64"/>
      </patternFill>
    </fill>
    <fill>
      <patternFill patternType="solid">
        <fgColor rgb="FFCDE8E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39997558519241921"/>
        <bgColor indexed="64"/>
      </patternFill>
    </fill>
  </fills>
  <borders count="63">
    <border>
      <left/>
      <right/>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medium">
        <color indexed="64"/>
      </left>
      <right style="thin">
        <color indexed="64"/>
      </right>
      <top style="medium">
        <color indexed="64"/>
      </top>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style="medium">
        <color indexed="64"/>
      </left>
      <right style="thick">
        <color indexed="64"/>
      </right>
      <top/>
      <bottom style="medium">
        <color indexed="64"/>
      </bottom>
      <diagonal/>
    </border>
    <border>
      <left style="thick">
        <color rgb="FFFF0000"/>
      </left>
      <right/>
      <top style="thick">
        <color theme="1"/>
      </top>
      <bottom/>
      <diagonal/>
    </border>
    <border>
      <left/>
      <right/>
      <top style="thick">
        <color theme="1"/>
      </top>
      <bottom/>
      <diagonal/>
    </border>
    <border>
      <left style="medium">
        <color indexed="64"/>
      </left>
      <right style="medium">
        <color indexed="64"/>
      </right>
      <top style="thick">
        <color theme="1"/>
      </top>
      <bottom style="medium">
        <color indexed="64"/>
      </bottom>
      <diagonal/>
    </border>
    <border>
      <left/>
      <right style="thick">
        <color rgb="FFFF0000"/>
      </right>
      <top style="thick">
        <color theme="1"/>
      </top>
      <bottom/>
      <diagonal/>
    </border>
    <border>
      <left style="medium">
        <color indexed="64"/>
      </left>
      <right/>
      <top style="medium">
        <color indexed="64"/>
      </top>
      <bottom/>
      <diagonal/>
    </border>
    <border>
      <left style="thick">
        <color auto="1"/>
      </left>
      <right style="thick">
        <color auto="1"/>
      </right>
      <top style="thick">
        <color auto="1"/>
      </top>
      <bottom style="thick">
        <color auto="1"/>
      </bottom>
      <diagonal/>
    </border>
    <border>
      <left/>
      <right/>
      <top style="thin">
        <color auto="1"/>
      </top>
      <bottom/>
      <diagonal/>
    </border>
    <border>
      <left/>
      <right/>
      <top/>
      <bottom style="thin">
        <color auto="1"/>
      </bottom>
      <diagonal/>
    </border>
    <border>
      <left style="thick">
        <color auto="1"/>
      </left>
      <right style="thin">
        <color auto="1"/>
      </right>
      <top style="thick">
        <color auto="1"/>
      </top>
      <bottom style="thin">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ck">
        <color rgb="FFFF0000"/>
      </right>
      <top style="thin">
        <color indexed="64"/>
      </top>
      <bottom/>
      <diagonal/>
    </border>
    <border>
      <left style="medium">
        <color indexed="64"/>
      </left>
      <right style="medium">
        <color indexed="64"/>
      </right>
      <top style="medium">
        <color indexed="64"/>
      </top>
      <bottom style="medium">
        <color indexed="64"/>
      </bottom>
      <diagonal/>
    </border>
    <border>
      <left style="thick">
        <color rgb="FFFF0000"/>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ck">
        <color auto="1"/>
      </left>
      <right style="thick">
        <color auto="1"/>
      </right>
      <top/>
      <bottom style="thick">
        <color auto="1"/>
      </bottom>
      <diagonal/>
    </border>
    <border>
      <left style="thick">
        <color rgb="FFFF0000"/>
      </left>
      <right/>
      <top/>
      <bottom style="thick">
        <color theme="1"/>
      </bottom>
      <diagonal/>
    </border>
    <border>
      <left/>
      <right style="thick">
        <color auto="1"/>
      </right>
      <top style="thick">
        <color auto="1"/>
      </top>
      <bottom style="thick">
        <color indexed="64"/>
      </bottom>
      <diagonal/>
    </border>
    <border>
      <left style="thin">
        <color auto="1"/>
      </left>
      <right style="thin">
        <color auto="1"/>
      </right>
      <top style="thin">
        <color auto="1"/>
      </top>
      <bottom style="thin">
        <color auto="1"/>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auto="1"/>
      </left>
      <right style="thick">
        <color auto="1"/>
      </right>
      <top/>
      <bottom/>
      <diagonal/>
    </border>
    <border>
      <left style="thin">
        <color auto="1"/>
      </left>
      <right/>
      <top style="thin">
        <color auto="1"/>
      </top>
      <bottom style="thin">
        <color auto="1"/>
      </bottom>
      <diagonal/>
    </border>
  </borders>
  <cellStyleXfs count="1">
    <xf numFmtId="0" fontId="0" fillId="0" borderId="0"/>
  </cellStyleXfs>
  <cellXfs count="392">
    <xf numFmtId="0" fontId="0" fillId="0" borderId="0" xfId="0"/>
    <xf numFmtId="0" fontId="3" fillId="0" borderId="29" xfId="0" applyFont="1" applyFill="1" applyBorder="1" applyAlignment="1" applyProtection="1">
      <alignment horizontal="center"/>
      <protection locked="0"/>
    </xf>
    <xf numFmtId="167" fontId="3" fillId="0" borderId="29" xfId="0" applyNumberFormat="1" applyFont="1" applyFill="1" applyBorder="1" applyAlignment="1" applyProtection="1">
      <alignment horizontal="center"/>
      <protection locked="0"/>
    </xf>
    <xf numFmtId="0" fontId="0" fillId="2" borderId="0" xfId="0" applyFill="1" applyProtection="1"/>
    <xf numFmtId="0" fontId="4" fillId="2" borderId="0" xfId="0" applyFont="1" applyFill="1" applyProtection="1"/>
    <xf numFmtId="0" fontId="12" fillId="2" borderId="0" xfId="0" applyFont="1" applyFill="1" applyAlignment="1" applyProtection="1">
      <alignment horizontal="left"/>
    </xf>
    <xf numFmtId="0" fontId="12" fillId="2" borderId="0" xfId="0" applyFont="1" applyFill="1" applyAlignment="1" applyProtection="1">
      <alignment horizontal="center"/>
    </xf>
    <xf numFmtId="0" fontId="0" fillId="2" borderId="12" xfId="0" applyFill="1" applyBorder="1" applyProtection="1"/>
    <xf numFmtId="0" fontId="0" fillId="2" borderId="13" xfId="0" applyFill="1" applyBorder="1" applyProtection="1"/>
    <xf numFmtId="0" fontId="0" fillId="2" borderId="14" xfId="0" applyFill="1" applyBorder="1" applyProtection="1"/>
    <xf numFmtId="0" fontId="3" fillId="3" borderId="15" xfId="0" applyFont="1" applyFill="1" applyBorder="1" applyProtection="1"/>
    <xf numFmtId="0" fontId="0" fillId="3" borderId="0" xfId="0" applyFill="1" applyBorder="1" applyProtection="1"/>
    <xf numFmtId="0" fontId="3" fillId="3" borderId="0" xfId="0" applyFont="1" applyFill="1" applyBorder="1" applyAlignment="1" applyProtection="1">
      <alignment horizontal="right"/>
    </xf>
    <xf numFmtId="0" fontId="0" fillId="3" borderId="16" xfId="0" applyFill="1" applyBorder="1" applyProtection="1"/>
    <xf numFmtId="0" fontId="0" fillId="2" borderId="15" xfId="0" applyFill="1" applyBorder="1" applyProtection="1"/>
    <xf numFmtId="0" fontId="1" fillId="2" borderId="0" xfId="0" applyFont="1" applyFill="1" applyBorder="1" applyProtection="1"/>
    <xf numFmtId="0" fontId="0" fillId="2" borderId="0" xfId="0" applyFill="1" applyBorder="1" applyProtection="1"/>
    <xf numFmtId="0" fontId="0" fillId="2" borderId="16" xfId="0" applyFill="1" applyBorder="1" applyProtection="1"/>
    <xf numFmtId="0" fontId="0" fillId="3" borderId="15" xfId="0" applyFill="1" applyBorder="1" applyProtection="1"/>
    <xf numFmtId="0" fontId="0" fillId="0" borderId="0" xfId="0" applyFill="1" applyBorder="1" applyProtection="1"/>
    <xf numFmtId="0" fontId="0" fillId="0" borderId="15" xfId="0" applyFill="1" applyBorder="1" applyProtection="1"/>
    <xf numFmtId="0" fontId="3" fillId="0" borderId="0" xfId="0" applyFont="1" applyFill="1" applyBorder="1" applyAlignment="1" applyProtection="1">
      <alignment horizontal="right"/>
    </xf>
    <xf numFmtId="0" fontId="0" fillId="0" borderId="16" xfId="0" applyFill="1" applyBorder="1" applyProtection="1"/>
    <xf numFmtId="0" fontId="0" fillId="12" borderId="48" xfId="0" applyFill="1" applyBorder="1" applyProtection="1"/>
    <xf numFmtId="0" fontId="0" fillId="12" borderId="0" xfId="0" applyFill="1" applyBorder="1" applyProtection="1"/>
    <xf numFmtId="0" fontId="0" fillId="12" borderId="0" xfId="0" applyFill="1" applyProtection="1"/>
    <xf numFmtId="0" fontId="0" fillId="0" borderId="0" xfId="0" applyFill="1" applyProtection="1"/>
    <xf numFmtId="0" fontId="4" fillId="4" borderId="24" xfId="0" applyFont="1" applyFill="1" applyBorder="1" applyProtection="1"/>
    <xf numFmtId="0" fontId="3" fillId="4" borderId="25" xfId="0" applyFont="1" applyFill="1" applyBorder="1" applyAlignment="1" applyProtection="1">
      <alignment horizontal="left"/>
    </xf>
    <xf numFmtId="0" fontId="0" fillId="4" borderId="25" xfId="0" applyFill="1" applyBorder="1" applyProtection="1"/>
    <xf numFmtId="0" fontId="7" fillId="4" borderId="25" xfId="0" applyFont="1" applyFill="1" applyBorder="1" applyAlignment="1" applyProtection="1">
      <alignment horizontal="right"/>
    </xf>
    <xf numFmtId="10" fontId="6" fillId="4" borderId="26" xfId="0" applyNumberFormat="1" applyFont="1" applyFill="1" applyBorder="1" applyAlignment="1" applyProtection="1">
      <alignment horizontal="center" vertical="center"/>
    </xf>
    <xf numFmtId="0" fontId="5" fillId="4" borderId="28" xfId="0" applyFont="1" applyFill="1" applyBorder="1" applyProtection="1"/>
    <xf numFmtId="0" fontId="0" fillId="4" borderId="27" xfId="0" applyFill="1" applyBorder="1" applyProtection="1"/>
    <xf numFmtId="0" fontId="0" fillId="4" borderId="15" xfId="0" applyFill="1" applyBorder="1" applyProtection="1"/>
    <xf numFmtId="0" fontId="0" fillId="4" borderId="0" xfId="0" applyFill="1" applyBorder="1" applyProtection="1"/>
    <xf numFmtId="0" fontId="5" fillId="4" borderId="0" xfId="0" applyFont="1" applyFill="1" applyBorder="1" applyProtection="1"/>
    <xf numFmtId="0" fontId="0" fillId="4" borderId="16" xfId="0" applyFill="1" applyBorder="1" applyProtection="1"/>
    <xf numFmtId="0" fontId="0" fillId="4" borderId="17" xfId="0" applyFill="1" applyBorder="1" applyProtection="1"/>
    <xf numFmtId="0" fontId="0" fillId="4" borderId="18" xfId="0" applyFill="1" applyBorder="1" applyProtection="1"/>
    <xf numFmtId="0" fontId="0" fillId="4" borderId="19" xfId="0" applyFill="1" applyBorder="1" applyProtection="1"/>
    <xf numFmtId="0" fontId="0" fillId="12" borderId="15" xfId="0" applyFill="1" applyBorder="1" applyProtection="1"/>
    <xf numFmtId="0" fontId="3" fillId="12" borderId="0" xfId="0" applyFont="1" applyFill="1" applyBorder="1" applyAlignment="1" applyProtection="1">
      <alignment horizontal="right"/>
    </xf>
    <xf numFmtId="0" fontId="3" fillId="12" borderId="0" xfId="0" applyFont="1" applyFill="1" applyAlignment="1" applyProtection="1">
      <alignment horizontal="right"/>
    </xf>
    <xf numFmtId="0" fontId="3" fillId="12" borderId="15" xfId="0" applyFont="1" applyFill="1" applyBorder="1" applyAlignment="1" applyProtection="1">
      <alignment horizontal="right"/>
    </xf>
    <xf numFmtId="0" fontId="0" fillId="12" borderId="16" xfId="0" applyFill="1" applyBorder="1" applyProtection="1"/>
    <xf numFmtId="0" fontId="0" fillId="3" borderId="0" xfId="0" applyFill="1" applyProtection="1"/>
    <xf numFmtId="4" fontId="25" fillId="3" borderId="0" xfId="0" applyNumberFormat="1" applyFont="1" applyFill="1" applyBorder="1" applyAlignment="1" applyProtection="1">
      <alignment horizontal="right"/>
    </xf>
    <xf numFmtId="0" fontId="29" fillId="3" borderId="0" xfId="0" applyFont="1" applyFill="1" applyBorder="1" applyAlignment="1" applyProtection="1">
      <alignment horizontal="left"/>
    </xf>
    <xf numFmtId="0" fontId="0" fillId="0" borderId="0" xfId="0" applyAlignment="1" applyProtection="1">
      <alignment horizontal="center"/>
    </xf>
    <xf numFmtId="0" fontId="0" fillId="0" borderId="0" xfId="0" applyProtection="1"/>
    <xf numFmtId="10" fontId="0" fillId="0" borderId="0" xfId="0" applyNumberFormat="1" applyProtection="1"/>
    <xf numFmtId="170" fontId="0" fillId="0" borderId="0" xfId="0" applyNumberFormat="1" applyProtection="1"/>
    <xf numFmtId="167" fontId="0" fillId="0" borderId="0" xfId="0" applyNumberFormat="1" applyProtection="1"/>
    <xf numFmtId="9" fontId="0" fillId="0" borderId="0" xfId="0" applyNumberFormat="1" applyProtection="1"/>
    <xf numFmtId="0" fontId="9" fillId="0" borderId="0" xfId="0" applyFont="1" applyFill="1" applyBorder="1" applyProtection="1"/>
    <xf numFmtId="0" fontId="9" fillId="0" borderId="0" xfId="0" applyFont="1" applyProtection="1"/>
    <xf numFmtId="2" fontId="3" fillId="0" borderId="29" xfId="0" applyNumberFormat="1" applyFont="1" applyFill="1" applyBorder="1" applyAlignment="1" applyProtection="1">
      <alignment horizontal="center"/>
      <protection locked="0"/>
    </xf>
    <xf numFmtId="10" fontId="3" fillId="0" borderId="29" xfId="0" applyNumberFormat="1" applyFont="1" applyFill="1" applyBorder="1" applyAlignment="1" applyProtection="1">
      <alignment horizontal="center"/>
      <protection locked="0"/>
    </xf>
    <xf numFmtId="9" fontId="3" fillId="0" borderId="29" xfId="0" applyNumberFormat="1" applyFont="1" applyFill="1" applyBorder="1" applyAlignment="1" applyProtection="1">
      <alignment horizontal="center"/>
      <protection locked="0"/>
    </xf>
    <xf numFmtId="10" fontId="3" fillId="13" borderId="29" xfId="0" applyNumberFormat="1" applyFont="1" applyFill="1" applyBorder="1" applyAlignment="1" applyProtection="1">
      <alignment horizontal="center"/>
      <protection locked="0"/>
    </xf>
    <xf numFmtId="0" fontId="3" fillId="13" borderId="29" xfId="0" applyFont="1" applyFill="1" applyBorder="1" applyAlignment="1" applyProtection="1">
      <alignment horizontal="center"/>
      <protection locked="0"/>
    </xf>
    <xf numFmtId="9" fontId="3" fillId="13" borderId="29" xfId="0" applyNumberFormat="1" applyFont="1" applyFill="1" applyBorder="1" applyAlignment="1" applyProtection="1">
      <alignment horizontal="center"/>
      <protection locked="0"/>
    </xf>
    <xf numFmtId="10" fontId="5" fillId="0" borderId="29" xfId="0" applyNumberFormat="1" applyFont="1" applyFill="1" applyBorder="1" applyAlignment="1" applyProtection="1">
      <alignment horizontal="center"/>
      <protection locked="0"/>
    </xf>
    <xf numFmtId="10" fontId="5" fillId="0" borderId="0" xfId="0" applyNumberFormat="1" applyFont="1" applyFill="1" applyBorder="1" applyAlignment="1" applyProtection="1">
      <alignment horizontal="center"/>
    </xf>
    <xf numFmtId="10" fontId="5" fillId="13" borderId="29" xfId="0" applyNumberFormat="1" applyFont="1" applyFill="1" applyBorder="1" applyAlignment="1" applyProtection="1">
      <alignment horizontal="center"/>
      <protection locked="0"/>
    </xf>
    <xf numFmtId="10" fontId="5" fillId="13" borderId="0" xfId="0" applyNumberFormat="1" applyFont="1" applyFill="1" applyBorder="1" applyAlignment="1" applyProtection="1">
      <alignment horizontal="center"/>
    </xf>
    <xf numFmtId="10" fontId="26" fillId="0" borderId="29" xfId="0" applyNumberFormat="1" applyFont="1" applyFill="1" applyBorder="1" applyAlignment="1" applyProtection="1">
      <alignment horizontal="center"/>
      <protection locked="0"/>
    </xf>
    <xf numFmtId="0" fontId="5" fillId="13" borderId="35" xfId="0" applyFont="1" applyFill="1" applyBorder="1" applyProtection="1"/>
    <xf numFmtId="0" fontId="5" fillId="0" borderId="37" xfId="0" applyFont="1" applyFill="1" applyBorder="1" applyProtection="1"/>
    <xf numFmtId="0" fontId="5" fillId="13" borderId="37" xfId="0" applyFont="1" applyFill="1" applyBorder="1" applyProtection="1"/>
    <xf numFmtId="0" fontId="22" fillId="0" borderId="36" xfId="0" applyFont="1" applyFill="1" applyBorder="1" applyProtection="1"/>
    <xf numFmtId="0" fontId="22" fillId="13" borderId="36" xfId="0" applyFont="1" applyFill="1" applyBorder="1" applyProtection="1"/>
    <xf numFmtId="0" fontId="22" fillId="0" borderId="38" xfId="0" applyFont="1" applyFill="1" applyBorder="1" applyProtection="1"/>
    <xf numFmtId="0" fontId="5" fillId="0" borderId="40" xfId="0" applyFont="1" applyFill="1" applyBorder="1" applyProtection="1"/>
    <xf numFmtId="0" fontId="0" fillId="14" borderId="28" xfId="0" applyFill="1" applyBorder="1" applyProtection="1"/>
    <xf numFmtId="0" fontId="11" fillId="8" borderId="10" xfId="0" applyFont="1" applyFill="1" applyBorder="1" applyAlignment="1" applyProtection="1">
      <alignment horizontal="center"/>
    </xf>
    <xf numFmtId="0" fontId="23" fillId="8" borderId="10" xfId="0" applyFont="1" applyFill="1" applyBorder="1" applyProtection="1"/>
    <xf numFmtId="0" fontId="11" fillId="8" borderId="10" xfId="0" applyFont="1" applyFill="1" applyBorder="1" applyProtection="1"/>
    <xf numFmtId="0" fontId="11" fillId="8" borderId="0" xfId="0" applyFont="1" applyFill="1" applyBorder="1" applyAlignment="1" applyProtection="1">
      <alignment horizontal="center"/>
    </xf>
    <xf numFmtId="9" fontId="11" fillId="8" borderId="0" xfId="0" applyNumberFormat="1" applyFont="1" applyFill="1" applyBorder="1" applyAlignment="1" applyProtection="1">
      <alignment horizontal="center"/>
    </xf>
    <xf numFmtId="0" fontId="11" fillId="8" borderId="0" xfId="0" applyFont="1" applyFill="1" applyBorder="1" applyProtection="1"/>
    <xf numFmtId="0" fontId="11" fillId="7" borderId="0" xfId="0" applyFont="1" applyFill="1" applyBorder="1" applyAlignment="1" applyProtection="1">
      <alignment horizontal="center"/>
    </xf>
    <xf numFmtId="0" fontId="11" fillId="7" borderId="1" xfId="0" applyFont="1" applyFill="1" applyBorder="1" applyAlignment="1" applyProtection="1">
      <alignment horizontal="center"/>
    </xf>
    <xf numFmtId="0" fontId="23" fillId="8" borderId="0" xfId="0" applyFont="1" applyFill="1" applyBorder="1" applyAlignment="1" applyProtection="1">
      <alignment horizontal="center"/>
    </xf>
    <xf numFmtId="0" fontId="23" fillId="8" borderId="0" xfId="0" applyFont="1" applyFill="1" applyBorder="1" applyProtection="1"/>
    <xf numFmtId="0" fontId="23" fillId="7" borderId="0" xfId="0" applyFont="1" applyFill="1" applyBorder="1" applyAlignment="1" applyProtection="1">
      <alignment horizontal="center"/>
    </xf>
    <xf numFmtId="0" fontId="23" fillId="7" borderId="1" xfId="0" applyFont="1" applyFill="1" applyBorder="1" applyAlignment="1" applyProtection="1">
      <alignment horizontal="center"/>
    </xf>
    <xf numFmtId="9" fontId="11" fillId="8" borderId="0" xfId="0" applyNumberFormat="1" applyFont="1" applyFill="1" applyBorder="1" applyProtection="1"/>
    <xf numFmtId="10" fontId="11" fillId="8" borderId="0" xfId="0" applyNumberFormat="1" applyFont="1" applyFill="1" applyBorder="1" applyProtection="1"/>
    <xf numFmtId="167" fontId="11" fillId="8" borderId="0" xfId="0" applyNumberFormat="1" applyFont="1" applyFill="1" applyBorder="1" applyProtection="1"/>
    <xf numFmtId="0" fontId="0" fillId="14" borderId="51" xfId="0" applyFill="1" applyBorder="1" applyAlignment="1" applyProtection="1">
      <alignment horizontal="center"/>
    </xf>
    <xf numFmtId="0" fontId="11" fillId="7" borderId="0" xfId="0" applyFont="1" applyFill="1" applyBorder="1" applyProtection="1"/>
    <xf numFmtId="0" fontId="11" fillId="7" borderId="1" xfId="0" applyFont="1" applyFill="1" applyBorder="1" applyProtection="1"/>
    <xf numFmtId="10" fontId="3" fillId="8" borderId="0" xfId="0" applyNumberFormat="1" applyFont="1" applyFill="1" applyBorder="1" applyAlignment="1" applyProtection="1">
      <alignment horizontal="right"/>
    </xf>
    <xf numFmtId="10" fontId="3" fillId="7" borderId="0" xfId="0" applyNumberFormat="1" applyFont="1" applyFill="1" applyBorder="1" applyProtection="1"/>
    <xf numFmtId="10" fontId="3" fillId="7" borderId="1" xfId="0" applyNumberFormat="1" applyFont="1" applyFill="1" applyBorder="1" applyProtection="1"/>
    <xf numFmtId="0" fontId="0" fillId="14" borderId="52" xfId="0" applyFill="1" applyBorder="1" applyAlignment="1" applyProtection="1">
      <alignment horizontal="center"/>
    </xf>
    <xf numFmtId="9" fontId="11" fillId="8" borderId="53" xfId="0" applyNumberFormat="1" applyFont="1" applyFill="1" applyBorder="1" applyAlignment="1" applyProtection="1">
      <alignment horizontal="center"/>
    </xf>
    <xf numFmtId="9" fontId="11" fillId="8" borderId="53" xfId="0" applyNumberFormat="1" applyFont="1" applyFill="1" applyBorder="1" applyProtection="1"/>
    <xf numFmtId="10" fontId="11" fillId="8" borderId="53" xfId="0" applyNumberFormat="1" applyFont="1" applyFill="1" applyBorder="1" applyProtection="1"/>
    <xf numFmtId="10" fontId="3" fillId="8" borderId="53" xfId="0" applyNumberFormat="1" applyFont="1" applyFill="1" applyBorder="1" applyAlignment="1" applyProtection="1">
      <alignment horizontal="right"/>
    </xf>
    <xf numFmtId="10" fontId="3" fillId="7" borderId="53" xfId="0" applyNumberFormat="1" applyFont="1" applyFill="1" applyBorder="1" applyProtection="1"/>
    <xf numFmtId="10" fontId="3" fillId="7" borderId="2" xfId="0" applyNumberFormat="1" applyFont="1" applyFill="1" applyBorder="1" applyProtection="1"/>
    <xf numFmtId="0" fontId="34" fillId="7" borderId="10" xfId="0" applyFont="1" applyFill="1" applyBorder="1" applyAlignment="1" applyProtection="1">
      <alignment horizontal="centerContinuous"/>
    </xf>
    <xf numFmtId="0" fontId="4" fillId="7" borderId="43" xfId="0" applyFont="1" applyFill="1" applyBorder="1" applyProtection="1"/>
    <xf numFmtId="0" fontId="3" fillId="7" borderId="30" xfId="0" applyFont="1" applyFill="1" applyBorder="1" applyAlignment="1" applyProtection="1">
      <alignment horizontal="left"/>
    </xf>
    <xf numFmtId="0" fontId="0" fillId="7" borderId="30" xfId="0" applyFill="1" applyBorder="1" applyProtection="1"/>
    <xf numFmtId="0" fontId="7" fillId="7" borderId="30" xfId="0" applyFont="1" applyFill="1" applyBorder="1" applyAlignment="1" applyProtection="1">
      <alignment horizontal="right"/>
    </xf>
    <xf numFmtId="10" fontId="6" fillId="7" borderId="42" xfId="0" applyNumberFormat="1" applyFont="1" applyFill="1" applyBorder="1" applyAlignment="1" applyProtection="1">
      <alignment horizontal="center" vertical="center"/>
    </xf>
    <xf numFmtId="0" fontId="5" fillId="7" borderId="30" xfId="0" applyFont="1" applyFill="1" applyBorder="1" applyProtection="1"/>
    <xf numFmtId="0" fontId="0" fillId="7" borderId="41" xfId="0" applyFill="1" applyBorder="1" applyProtection="1"/>
    <xf numFmtId="0" fontId="0" fillId="7" borderId="15" xfId="0" applyFill="1" applyBorder="1" applyProtection="1"/>
    <xf numFmtId="0" fontId="0" fillId="7" borderId="0" xfId="0" applyFill="1" applyBorder="1" applyProtection="1"/>
    <xf numFmtId="0" fontId="0" fillId="7" borderId="16" xfId="0" applyFill="1" applyBorder="1" applyProtection="1"/>
    <xf numFmtId="0" fontId="0" fillId="7" borderId="17" xfId="0" applyFill="1" applyBorder="1" applyProtection="1"/>
    <xf numFmtId="0" fontId="0" fillId="7" borderId="18" xfId="0" applyFill="1" applyBorder="1" applyProtection="1"/>
    <xf numFmtId="0" fontId="0" fillId="7" borderId="19" xfId="0" applyFill="1" applyBorder="1" applyProtection="1"/>
    <xf numFmtId="0" fontId="16" fillId="2" borderId="12" xfId="0" applyFont="1" applyFill="1" applyBorder="1" applyProtection="1"/>
    <xf numFmtId="2" fontId="4" fillId="3" borderId="29" xfId="0" applyNumberFormat="1" applyFont="1" applyFill="1" applyBorder="1" applyAlignment="1" applyProtection="1">
      <alignment horizontal="center"/>
      <protection locked="0"/>
    </xf>
    <xf numFmtId="10" fontId="4" fillId="3" borderId="29" xfId="0" applyNumberFormat="1" applyFont="1" applyFill="1" applyBorder="1" applyAlignment="1" applyProtection="1">
      <alignment horizontal="center"/>
      <protection locked="0"/>
    </xf>
    <xf numFmtId="167" fontId="0" fillId="10" borderId="0" xfId="0" applyNumberFormat="1" applyFill="1" applyProtection="1"/>
    <xf numFmtId="10" fontId="0" fillId="10" borderId="0" xfId="0" applyNumberFormat="1" applyFill="1" applyProtection="1"/>
    <xf numFmtId="0" fontId="0" fillId="10" borderId="0" xfId="0" applyFill="1" applyProtection="1"/>
    <xf numFmtId="1" fontId="0" fillId="10" borderId="0" xfId="0" applyNumberFormat="1" applyFill="1" applyProtection="1"/>
    <xf numFmtId="9" fontId="0" fillId="10" borderId="0" xfId="0" applyNumberFormat="1" applyFill="1" applyProtection="1"/>
    <xf numFmtId="1" fontId="0" fillId="0" borderId="0" xfId="0" applyNumberFormat="1" applyAlignment="1" applyProtection="1">
      <alignment horizontal="center"/>
    </xf>
    <xf numFmtId="174" fontId="0" fillId="0" borderId="0" xfId="0" applyNumberFormat="1" applyProtection="1"/>
    <xf numFmtId="1" fontId="0" fillId="0" borderId="0" xfId="0" applyNumberFormat="1" applyFill="1" applyAlignment="1" applyProtection="1">
      <alignment horizontal="center"/>
    </xf>
    <xf numFmtId="10" fontId="0" fillId="0" borderId="0" xfId="0" applyNumberFormat="1" applyFill="1" applyProtection="1"/>
    <xf numFmtId="0" fontId="23" fillId="0" borderId="0" xfId="0" applyFont="1" applyFill="1" applyBorder="1" applyAlignment="1" applyProtection="1">
      <alignment horizontal="centerContinuous"/>
    </xf>
    <xf numFmtId="0" fontId="11" fillId="15" borderId="10" xfId="0" applyFont="1" applyFill="1" applyBorder="1" applyAlignment="1" applyProtection="1">
      <alignment horizontal="centerContinuous"/>
    </xf>
    <xf numFmtId="0" fontId="11" fillId="15" borderId="11" xfId="0" applyFont="1" applyFill="1" applyBorder="1" applyAlignment="1" applyProtection="1">
      <alignment horizontal="centerContinuous"/>
    </xf>
    <xf numFmtId="0" fontId="11" fillId="8" borderId="53" xfId="0" applyFont="1" applyFill="1" applyBorder="1" applyProtection="1"/>
    <xf numFmtId="0" fontId="2" fillId="2" borderId="0" xfId="0" applyFont="1" applyFill="1" applyAlignment="1" applyProtection="1">
      <alignment horizontal="center"/>
    </xf>
    <xf numFmtId="0" fontId="6" fillId="0" borderId="0" xfId="0" applyFont="1" applyProtection="1"/>
    <xf numFmtId="0" fontId="32" fillId="0" borderId="0" xfId="0" applyFont="1" applyProtection="1"/>
    <xf numFmtId="0" fontId="11" fillId="0" borderId="0" xfId="0" applyFont="1" applyProtection="1"/>
    <xf numFmtId="0" fontId="14" fillId="0" borderId="0" xfId="0" applyFont="1" applyAlignment="1" applyProtection="1">
      <alignment horizontal="center"/>
    </xf>
    <xf numFmtId="0" fontId="14" fillId="0" borderId="0" xfId="0" applyFont="1" applyProtection="1"/>
    <xf numFmtId="0" fontId="15" fillId="0" borderId="0" xfId="0" applyFont="1" applyProtection="1"/>
    <xf numFmtId="0" fontId="36" fillId="0" borderId="0" xfId="0" applyFont="1" applyProtection="1"/>
    <xf numFmtId="0" fontId="15" fillId="0" borderId="0" xfId="0" applyFont="1" applyFill="1" applyProtection="1"/>
    <xf numFmtId="0" fontId="36" fillId="0" borderId="0" xfId="0" applyFont="1" applyFill="1" applyProtection="1"/>
    <xf numFmtId="0" fontId="4" fillId="0" borderId="0" xfId="0" applyFont="1" applyProtection="1"/>
    <xf numFmtId="0" fontId="3" fillId="5" borderId="0" xfId="0" applyFont="1" applyFill="1" applyProtection="1"/>
    <xf numFmtId="0" fontId="4" fillId="5" borderId="0" xfId="0" applyFont="1" applyFill="1" applyProtection="1"/>
    <xf numFmtId="0" fontId="16" fillId="13" borderId="33" xfId="0" applyFont="1" applyFill="1" applyBorder="1" applyProtection="1"/>
    <xf numFmtId="0" fontId="1" fillId="13" borderId="34" xfId="0" applyFont="1" applyFill="1" applyBorder="1" applyAlignment="1" applyProtection="1">
      <alignment horizontal="center"/>
    </xf>
    <xf numFmtId="0" fontId="13" fillId="13" borderId="34" xfId="0" applyFont="1" applyFill="1" applyBorder="1" applyAlignment="1" applyProtection="1">
      <alignment horizontal="center"/>
    </xf>
    <xf numFmtId="0" fontId="1" fillId="13" borderId="35" xfId="0" applyFont="1" applyFill="1" applyBorder="1" applyAlignment="1" applyProtection="1">
      <alignment horizontal="center"/>
    </xf>
    <xf numFmtId="0" fontId="0" fillId="0" borderId="36" xfId="0" applyFill="1" applyBorder="1" applyProtection="1"/>
    <xf numFmtId="0" fontId="1" fillId="0" borderId="0" xfId="0" applyFont="1" applyFill="1" applyBorder="1" applyAlignment="1" applyProtection="1">
      <alignment horizontal="center"/>
    </xf>
    <xf numFmtId="0" fontId="1" fillId="0" borderId="0" xfId="0" applyFont="1" applyFill="1" applyProtection="1"/>
    <xf numFmtId="0" fontId="1" fillId="0" borderId="37" xfId="0" applyFont="1" applyFill="1" applyBorder="1" applyAlignment="1" applyProtection="1">
      <alignment horizontal="center"/>
    </xf>
    <xf numFmtId="0" fontId="13" fillId="13" borderId="36" xfId="0" applyFont="1" applyFill="1" applyBorder="1" applyProtection="1"/>
    <xf numFmtId="0" fontId="8" fillId="13" borderId="0" xfId="0" applyFont="1" applyFill="1" applyBorder="1" applyAlignment="1" applyProtection="1">
      <alignment horizontal="center"/>
    </xf>
    <xf numFmtId="0" fontId="1" fillId="13" borderId="0" xfId="0" applyFont="1" applyFill="1" applyProtection="1"/>
    <xf numFmtId="0" fontId="8" fillId="13" borderId="37" xfId="0" applyFont="1" applyFill="1" applyBorder="1" applyAlignment="1" applyProtection="1">
      <alignment horizontal="center"/>
    </xf>
    <xf numFmtId="0" fontId="4" fillId="0" borderId="36" xfId="0" applyFont="1" applyFill="1" applyBorder="1" applyProtection="1"/>
    <xf numFmtId="0" fontId="14" fillId="0" borderId="0" xfId="0" applyFont="1" applyFill="1" applyBorder="1" applyAlignment="1" applyProtection="1">
      <alignment horizontal="center"/>
    </xf>
    <xf numFmtId="0" fontId="14" fillId="0" borderId="39" xfId="0" applyFont="1" applyFill="1" applyBorder="1" applyAlignment="1" applyProtection="1">
      <alignment horizontal="center"/>
    </xf>
    <xf numFmtId="0" fontId="13" fillId="0" borderId="37" xfId="0" applyFont="1" applyFill="1" applyBorder="1" applyAlignment="1" applyProtection="1">
      <alignment horizontal="center"/>
    </xf>
    <xf numFmtId="0" fontId="11" fillId="13" borderId="36" xfId="0" applyFont="1" applyFill="1" applyBorder="1" applyProtection="1"/>
    <xf numFmtId="10" fontId="3" fillId="13" borderId="0" xfId="0" applyNumberFormat="1" applyFont="1" applyFill="1" applyBorder="1" applyAlignment="1" applyProtection="1">
      <alignment horizontal="center"/>
    </xf>
    <xf numFmtId="0" fontId="0" fillId="13" borderId="0" xfId="0" applyFill="1" applyProtection="1"/>
    <xf numFmtId="10" fontId="3" fillId="13" borderId="38" xfId="0" applyNumberFormat="1" applyFont="1" applyFill="1" applyBorder="1" applyAlignment="1" applyProtection="1">
      <alignment horizontal="center"/>
    </xf>
    <xf numFmtId="0" fontId="13" fillId="13" borderId="37" xfId="0" applyFont="1" applyFill="1" applyBorder="1" applyAlignment="1" applyProtection="1">
      <alignment horizontal="center"/>
    </xf>
    <xf numFmtId="0" fontId="10" fillId="0" borderId="0" xfId="0" applyFont="1" applyProtection="1"/>
    <xf numFmtId="0" fontId="11" fillId="0" borderId="36" xfId="0" applyFont="1" applyFill="1" applyBorder="1" applyProtection="1"/>
    <xf numFmtId="10" fontId="3" fillId="0" borderId="0" xfId="0" applyNumberFormat="1" applyFont="1" applyFill="1" applyBorder="1" applyAlignment="1" applyProtection="1">
      <alignment horizontal="center"/>
    </xf>
    <xf numFmtId="0" fontId="3" fillId="0" borderId="0" xfId="0" quotePrefix="1" applyFont="1" applyFill="1" applyBorder="1" applyAlignment="1" applyProtection="1">
      <alignment horizontal="center"/>
    </xf>
    <xf numFmtId="0" fontId="13" fillId="0" borderId="47" xfId="0" applyFont="1" applyFill="1" applyBorder="1" applyAlignment="1" applyProtection="1">
      <alignment horizontal="center"/>
    </xf>
    <xf numFmtId="0" fontId="25" fillId="13" borderId="0" xfId="0" applyFont="1" applyFill="1" applyBorder="1" applyAlignment="1" applyProtection="1">
      <alignment horizontal="center"/>
    </xf>
    <xf numFmtId="0" fontId="0" fillId="0" borderId="0" xfId="0" applyAlignment="1" applyProtection="1">
      <alignment horizontal="left"/>
    </xf>
    <xf numFmtId="0" fontId="3" fillId="0" borderId="0" xfId="0" applyFont="1" applyFill="1" applyBorder="1" applyAlignment="1" applyProtection="1">
      <alignment horizontal="center"/>
    </xf>
    <xf numFmtId="0" fontId="35" fillId="13" borderId="0" xfId="0" applyFont="1" applyFill="1" applyBorder="1" applyAlignment="1" applyProtection="1">
      <alignment horizontal="right"/>
    </xf>
    <xf numFmtId="0" fontId="3" fillId="13" borderId="0" xfId="0" applyFont="1" applyFill="1" applyBorder="1" applyAlignment="1" applyProtection="1">
      <alignment horizontal="center"/>
    </xf>
    <xf numFmtId="2" fontId="3" fillId="13" borderId="0" xfId="0" applyNumberFormat="1" applyFont="1" applyFill="1" applyBorder="1" applyAlignment="1" applyProtection="1">
      <alignment horizontal="center"/>
    </xf>
    <xf numFmtId="0" fontId="35" fillId="13" borderId="35" xfId="0" applyFont="1" applyFill="1" applyBorder="1" applyAlignment="1" applyProtection="1">
      <alignment horizontal="left"/>
    </xf>
    <xf numFmtId="0" fontId="18" fillId="0" borderId="36" xfId="0" applyFont="1" applyFill="1" applyBorder="1" applyProtection="1"/>
    <xf numFmtId="2" fontId="3" fillId="0" borderId="0" xfId="0" applyNumberFormat="1" applyFont="1" applyFill="1" applyBorder="1" applyAlignment="1" applyProtection="1">
      <alignment horizontal="center"/>
    </xf>
    <xf numFmtId="2" fontId="3" fillId="0" borderId="37" xfId="0" applyNumberFormat="1" applyFont="1" applyFill="1" applyBorder="1" applyAlignment="1" applyProtection="1">
      <alignment horizontal="center"/>
    </xf>
    <xf numFmtId="2" fontId="25" fillId="13" borderId="0" xfId="0" applyNumberFormat="1" applyFont="1" applyFill="1" applyBorder="1" applyAlignment="1" applyProtection="1">
      <alignment horizontal="left"/>
    </xf>
    <xf numFmtId="9" fontId="35" fillId="13" borderId="39" xfId="0" applyNumberFormat="1" applyFont="1" applyFill="1" applyBorder="1" applyAlignment="1" applyProtection="1">
      <alignment horizontal="left"/>
    </xf>
    <xf numFmtId="0" fontId="3" fillId="0" borderId="36" xfId="0" applyFont="1" applyFill="1" applyBorder="1" applyAlignment="1" applyProtection="1">
      <alignment horizontal="center"/>
    </xf>
    <xf numFmtId="2" fontId="3" fillId="0" borderId="34" xfId="0" applyNumberFormat="1" applyFont="1" applyFill="1" applyBorder="1" applyAlignment="1" applyProtection="1">
      <alignment horizontal="center"/>
    </xf>
    <xf numFmtId="9" fontId="3" fillId="13" borderId="36" xfId="0" applyNumberFormat="1" applyFont="1" applyFill="1" applyBorder="1" applyAlignment="1" applyProtection="1">
      <alignment horizontal="center"/>
    </xf>
    <xf numFmtId="2" fontId="3" fillId="13" borderId="37" xfId="0" applyNumberFormat="1" applyFont="1" applyFill="1" applyBorder="1" applyAlignment="1" applyProtection="1">
      <alignment horizontal="center"/>
    </xf>
    <xf numFmtId="9" fontId="3" fillId="0" borderId="36" xfId="0" applyNumberFormat="1" applyFont="1" applyFill="1" applyBorder="1" applyAlignment="1" applyProtection="1">
      <alignment horizontal="center"/>
    </xf>
    <xf numFmtId="0" fontId="11" fillId="13" borderId="38" xfId="0" applyFont="1" applyFill="1" applyBorder="1" applyProtection="1"/>
    <xf numFmtId="9" fontId="35" fillId="13" borderId="39" xfId="0" applyNumberFormat="1" applyFont="1" applyFill="1" applyBorder="1" applyAlignment="1" applyProtection="1">
      <alignment horizontal="center"/>
    </xf>
    <xf numFmtId="0" fontId="15" fillId="13" borderId="39" xfId="0" applyFont="1" applyFill="1" applyBorder="1" applyAlignment="1" applyProtection="1">
      <alignment horizontal="center"/>
    </xf>
    <xf numFmtId="9" fontId="15" fillId="13" borderId="39" xfId="0" applyNumberFormat="1" applyFont="1" applyFill="1" applyBorder="1" applyAlignment="1" applyProtection="1">
      <alignment horizontal="center"/>
    </xf>
    <xf numFmtId="9" fontId="15" fillId="13" borderId="49" xfId="0" applyNumberFormat="1" applyFont="1" applyFill="1" applyBorder="1" applyAlignment="1" applyProtection="1">
      <alignment horizontal="center"/>
    </xf>
    <xf numFmtId="0" fontId="11" fillId="0" borderId="0" xfId="0" applyFont="1" applyFill="1" applyProtection="1"/>
    <xf numFmtId="9" fontId="15" fillId="0" borderId="0" xfId="0" applyNumberFormat="1" applyFont="1" applyFill="1" applyBorder="1" applyAlignment="1" applyProtection="1">
      <alignment horizontal="center"/>
    </xf>
    <xf numFmtId="0" fontId="15" fillId="0" borderId="0" xfId="0" applyFont="1" applyFill="1" applyBorder="1" applyAlignment="1" applyProtection="1">
      <alignment horizontal="center"/>
    </xf>
    <xf numFmtId="0" fontId="0" fillId="0" borderId="0" xfId="0" applyFill="1" applyBorder="1" applyAlignment="1" applyProtection="1">
      <alignment horizontal="center"/>
    </xf>
    <xf numFmtId="0" fontId="0" fillId="0" borderId="0" xfId="0" applyFill="1" applyAlignment="1" applyProtection="1">
      <alignment horizontal="center"/>
    </xf>
    <xf numFmtId="10" fontId="0" fillId="0" borderId="0" xfId="0" applyNumberFormat="1" applyFill="1" applyBorder="1" applyAlignment="1" applyProtection="1">
      <alignment horizontal="center"/>
    </xf>
    <xf numFmtId="10" fontId="0" fillId="0" borderId="0" xfId="0" applyNumberFormat="1" applyAlignment="1" applyProtection="1">
      <alignment horizontal="center"/>
    </xf>
    <xf numFmtId="0" fontId="0" fillId="0" borderId="0" xfId="0" applyFont="1" applyFill="1" applyAlignment="1" applyProtection="1">
      <alignment horizontal="right"/>
    </xf>
    <xf numFmtId="0" fontId="0" fillId="0" borderId="0" xfId="0" applyFill="1" applyBorder="1" applyAlignment="1" applyProtection="1">
      <alignment horizontal="left"/>
    </xf>
    <xf numFmtId="0" fontId="0" fillId="0" borderId="0" xfId="0" applyFill="1" applyAlignment="1" applyProtection="1">
      <alignment horizontal="right"/>
    </xf>
    <xf numFmtId="2" fontId="0" fillId="0" borderId="0" xfId="0" applyNumberFormat="1" applyFill="1" applyBorder="1" applyAlignment="1" applyProtection="1">
      <alignment horizontal="center"/>
    </xf>
    <xf numFmtId="2" fontId="0" fillId="0" borderId="0" xfId="0" applyNumberFormat="1" applyAlignment="1" applyProtection="1">
      <alignment horizontal="center"/>
    </xf>
    <xf numFmtId="167" fontId="0" fillId="0" borderId="0" xfId="0" applyNumberFormat="1" applyFill="1" applyBorder="1" applyAlignment="1" applyProtection="1">
      <alignment horizontal="center"/>
    </xf>
    <xf numFmtId="167" fontId="0" fillId="0" borderId="0" xfId="0" applyNumberFormat="1" applyAlignment="1" applyProtection="1">
      <alignment horizontal="center"/>
    </xf>
    <xf numFmtId="2" fontId="0" fillId="0" borderId="0" xfId="0" applyNumberFormat="1" applyProtection="1"/>
    <xf numFmtId="167" fontId="0" fillId="0" borderId="0" xfId="0" applyNumberFormat="1" applyFill="1" applyAlignment="1" applyProtection="1">
      <alignment horizontal="center"/>
    </xf>
    <xf numFmtId="2" fontId="0" fillId="0" borderId="0" xfId="0" applyNumberFormat="1" applyFill="1" applyProtection="1"/>
    <xf numFmtId="0" fontId="11" fillId="0" borderId="0" xfId="0" applyFont="1" applyFill="1" applyAlignment="1" applyProtection="1">
      <alignment horizontal="right"/>
    </xf>
    <xf numFmtId="166" fontId="0" fillId="0" borderId="0" xfId="0" applyNumberFormat="1" applyFont="1" applyFill="1" applyBorder="1" applyAlignment="1" applyProtection="1">
      <alignment horizontal="center"/>
    </xf>
    <xf numFmtId="166" fontId="0" fillId="0" borderId="0" xfId="0" applyNumberFormat="1" applyFill="1" applyBorder="1" applyAlignment="1" applyProtection="1">
      <alignment horizontal="center"/>
    </xf>
    <xf numFmtId="166" fontId="0" fillId="0" borderId="0" xfId="0" applyNumberFormat="1" applyFill="1" applyAlignment="1" applyProtection="1">
      <alignment horizontal="center"/>
    </xf>
    <xf numFmtId="0" fontId="0" fillId="0" borderId="0" xfId="0" applyAlignment="1" applyProtection="1">
      <alignment horizontal="right"/>
    </xf>
    <xf numFmtId="168" fontId="0" fillId="0" borderId="0" xfId="0" applyNumberFormat="1" applyFill="1" applyBorder="1" applyAlignment="1" applyProtection="1">
      <alignment horizontal="center"/>
    </xf>
    <xf numFmtId="166" fontId="0" fillId="10" borderId="0" xfId="0" applyNumberFormat="1" applyFill="1" applyProtection="1"/>
    <xf numFmtId="0" fontId="9" fillId="0" borderId="0" xfId="0" applyFont="1" applyFill="1" applyAlignment="1" applyProtection="1">
      <alignment horizontal="right"/>
    </xf>
    <xf numFmtId="166" fontId="0" fillId="0" borderId="0" xfId="0" applyNumberFormat="1" applyFill="1" applyProtection="1"/>
    <xf numFmtId="166" fontId="0" fillId="0" borderId="0" xfId="0" applyNumberFormat="1" applyProtection="1"/>
    <xf numFmtId="166" fontId="0" fillId="0" borderId="0" xfId="0" applyNumberFormat="1" applyFill="1" applyBorder="1" applyProtection="1"/>
    <xf numFmtId="0" fontId="16" fillId="8" borderId="32" xfId="0" applyFont="1" applyFill="1" applyBorder="1" applyAlignment="1" applyProtection="1">
      <alignment horizontal="left"/>
    </xf>
    <xf numFmtId="166" fontId="0" fillId="8" borderId="54" xfId="0" applyNumberFormat="1" applyFill="1" applyBorder="1" applyProtection="1"/>
    <xf numFmtId="10" fontId="0" fillId="8" borderId="54" xfId="0" applyNumberFormat="1" applyFill="1" applyBorder="1" applyProtection="1"/>
    <xf numFmtId="0" fontId="0" fillId="8" borderId="55" xfId="0" applyFill="1" applyBorder="1" applyProtection="1"/>
    <xf numFmtId="0" fontId="11" fillId="8" borderId="56" xfId="0" applyFont="1" applyFill="1" applyBorder="1" applyProtection="1"/>
    <xf numFmtId="0" fontId="3" fillId="8" borderId="50" xfId="0" applyFont="1" applyFill="1" applyBorder="1" applyProtection="1"/>
    <xf numFmtId="0" fontId="0" fillId="8" borderId="50" xfId="0" applyFill="1" applyBorder="1" applyProtection="1"/>
    <xf numFmtId="166" fontId="0" fillId="8" borderId="50" xfId="0" applyNumberFormat="1" applyFill="1" applyBorder="1" applyProtection="1"/>
    <xf numFmtId="0" fontId="3" fillId="8" borderId="50" xfId="0" applyFont="1" applyFill="1" applyBorder="1" applyAlignment="1" applyProtection="1">
      <alignment horizontal="center"/>
    </xf>
    <xf numFmtId="10" fontId="3" fillId="8" borderId="50" xfId="0" applyNumberFormat="1" applyFont="1" applyFill="1" applyBorder="1" applyProtection="1"/>
    <xf numFmtId="0" fontId="0" fillId="8" borderId="57" xfId="0" applyFill="1" applyBorder="1" applyProtection="1"/>
    <xf numFmtId="0" fontId="4" fillId="8" borderId="50" xfId="0" applyFont="1" applyFill="1" applyBorder="1" applyAlignment="1" applyProtection="1">
      <alignment horizontal="center"/>
    </xf>
    <xf numFmtId="10" fontId="0" fillId="8" borderId="50" xfId="0" applyNumberFormat="1" applyFill="1" applyBorder="1" applyProtection="1"/>
    <xf numFmtId="10" fontId="17" fillId="8" borderId="50" xfId="0" applyNumberFormat="1" applyFont="1" applyFill="1" applyBorder="1" applyProtection="1"/>
    <xf numFmtId="10" fontId="3" fillId="8" borderId="50" xfId="0" applyNumberFormat="1" applyFont="1" applyFill="1" applyBorder="1" applyAlignment="1" applyProtection="1">
      <alignment horizontal="center"/>
    </xf>
    <xf numFmtId="1" fontId="3" fillId="8" borderId="50" xfId="0" applyNumberFormat="1" applyFont="1" applyFill="1" applyBorder="1" applyAlignment="1" applyProtection="1">
      <alignment horizontal="center"/>
    </xf>
    <xf numFmtId="10" fontId="3" fillId="8" borderId="62" xfId="0" applyNumberFormat="1" applyFont="1" applyFill="1" applyBorder="1" applyAlignment="1" applyProtection="1">
      <alignment horizontal="center"/>
    </xf>
    <xf numFmtId="0" fontId="18" fillId="8" borderId="56" xfId="0" applyFont="1" applyFill="1" applyBorder="1" applyAlignment="1" applyProtection="1">
      <alignment horizontal="left"/>
    </xf>
    <xf numFmtId="10" fontId="10" fillId="8" borderId="50" xfId="0" applyNumberFormat="1" applyFont="1" applyFill="1" applyBorder="1" applyAlignment="1" applyProtection="1">
      <alignment horizontal="center"/>
    </xf>
    <xf numFmtId="0" fontId="0" fillId="8" borderId="56" xfId="0" applyFill="1" applyBorder="1" applyAlignment="1" applyProtection="1">
      <alignment horizontal="right"/>
    </xf>
    <xf numFmtId="2" fontId="0" fillId="8" borderId="50" xfId="0" applyNumberFormat="1" applyFill="1" applyBorder="1" applyAlignment="1" applyProtection="1">
      <alignment horizontal="right"/>
    </xf>
    <xf numFmtId="0" fontId="10" fillId="8" borderId="56" xfId="0" applyFont="1" applyFill="1" applyBorder="1" applyAlignment="1" applyProtection="1">
      <alignment horizontal="right"/>
    </xf>
    <xf numFmtId="10" fontId="0" fillId="8" borderId="50" xfId="0" applyNumberFormat="1" applyFill="1" applyBorder="1" applyAlignment="1" applyProtection="1">
      <alignment horizontal="right"/>
    </xf>
    <xf numFmtId="0" fontId="3" fillId="8" borderId="56" xfId="0" applyFont="1" applyFill="1" applyBorder="1" applyAlignment="1" applyProtection="1">
      <alignment horizontal="right"/>
    </xf>
    <xf numFmtId="0" fontId="11" fillId="8" borderId="57" xfId="0" applyFont="1" applyFill="1" applyBorder="1" applyProtection="1"/>
    <xf numFmtId="10" fontId="10" fillId="8" borderId="50" xfId="0" applyNumberFormat="1" applyFont="1" applyFill="1" applyBorder="1" applyProtection="1"/>
    <xf numFmtId="0" fontId="15" fillId="8" borderId="56" xfId="0" applyFont="1" applyFill="1" applyBorder="1" applyAlignment="1" applyProtection="1">
      <alignment horizontal="right"/>
    </xf>
    <xf numFmtId="10" fontId="15" fillId="8" borderId="50" xfId="0" applyNumberFormat="1" applyFont="1" applyFill="1" applyBorder="1" applyProtection="1"/>
    <xf numFmtId="2" fontId="0" fillId="8" borderId="50" xfId="0" applyNumberFormat="1" applyFill="1" applyBorder="1" applyProtection="1"/>
    <xf numFmtId="9" fontId="0" fillId="8" borderId="50" xfId="0" applyNumberFormat="1" applyFill="1" applyBorder="1" applyProtection="1"/>
    <xf numFmtId="167" fontId="0" fillId="8" borderId="50" xfId="0" applyNumberFormat="1" applyFill="1" applyBorder="1" applyProtection="1"/>
    <xf numFmtId="9" fontId="9" fillId="8" borderId="50" xfId="0" applyNumberFormat="1" applyFont="1" applyFill="1" applyBorder="1" applyProtection="1"/>
    <xf numFmtId="9" fontId="9" fillId="8" borderId="57" xfId="0" applyNumberFormat="1" applyFont="1" applyFill="1" applyBorder="1" applyProtection="1"/>
    <xf numFmtId="0" fontId="0" fillId="8" borderId="58" xfId="0" applyFill="1" applyBorder="1" applyAlignment="1" applyProtection="1">
      <alignment horizontal="right"/>
    </xf>
    <xf numFmtId="9" fontId="0" fillId="8" borderId="59" xfId="0" applyNumberFormat="1" applyFill="1" applyBorder="1" applyProtection="1"/>
    <xf numFmtId="9" fontId="9" fillId="8" borderId="60" xfId="0" applyNumberFormat="1" applyFont="1" applyFill="1" applyBorder="1" applyProtection="1"/>
    <xf numFmtId="0" fontId="24" fillId="0" borderId="0" xfId="0" applyFont="1" applyProtection="1"/>
    <xf numFmtId="0" fontId="27" fillId="13" borderId="33" xfId="0" applyFont="1" applyFill="1" applyBorder="1" applyProtection="1"/>
    <xf numFmtId="0" fontId="5" fillId="13" borderId="34" xfId="0" applyFont="1" applyFill="1" applyBorder="1" applyProtection="1"/>
    <xf numFmtId="0" fontId="5" fillId="13" borderId="34" xfId="0" applyFont="1" applyFill="1" applyBorder="1" applyAlignment="1" applyProtection="1">
      <alignment horizontal="center"/>
    </xf>
    <xf numFmtId="0" fontId="5" fillId="0" borderId="36" xfId="0" applyFont="1" applyFill="1" applyBorder="1" applyProtection="1"/>
    <xf numFmtId="0" fontId="5" fillId="0" borderId="0" xfId="0" applyFont="1" applyFill="1" applyBorder="1" applyAlignment="1" applyProtection="1">
      <alignment horizontal="center"/>
    </xf>
    <xf numFmtId="0" fontId="5" fillId="13" borderId="36" xfId="0" applyFont="1" applyFill="1" applyBorder="1" applyProtection="1"/>
    <xf numFmtId="0" fontId="5" fillId="13" borderId="0" xfId="0" applyFont="1" applyFill="1" applyBorder="1" applyAlignment="1" applyProtection="1">
      <alignment horizontal="center"/>
    </xf>
    <xf numFmtId="10" fontId="0" fillId="13" borderId="0" xfId="0" applyNumberFormat="1" applyFont="1" applyFill="1" applyBorder="1" applyAlignment="1" applyProtection="1">
      <alignment horizontal="center"/>
    </xf>
    <xf numFmtId="2" fontId="0" fillId="5" borderId="33" xfId="0" applyNumberFormat="1" applyFill="1" applyBorder="1" applyProtection="1"/>
    <xf numFmtId="0" fontId="24" fillId="5" borderId="34" xfId="0" applyFont="1" applyFill="1" applyBorder="1" applyAlignment="1" applyProtection="1">
      <alignment horizontal="left"/>
    </xf>
    <xf numFmtId="0" fontId="0" fillId="5" borderId="34" xfId="0" applyFill="1" applyBorder="1" applyProtection="1"/>
    <xf numFmtId="2" fontId="0" fillId="5" borderId="34" xfId="0" applyNumberFormat="1" applyFill="1" applyBorder="1" applyProtection="1"/>
    <xf numFmtId="0" fontId="0" fillId="9" borderId="35" xfId="0" applyFill="1" applyBorder="1" applyProtection="1"/>
    <xf numFmtId="0" fontId="11" fillId="5" borderId="36" xfId="0" applyFont="1" applyFill="1" applyBorder="1" applyProtection="1"/>
    <xf numFmtId="0" fontId="3" fillId="5" borderId="0" xfId="0" applyFont="1" applyFill="1" applyBorder="1" applyProtection="1"/>
    <xf numFmtId="0" fontId="0" fillId="5" borderId="0" xfId="0" applyFill="1" applyBorder="1" applyProtection="1"/>
    <xf numFmtId="2" fontId="0" fillId="5" borderId="0" xfId="0" applyNumberFormat="1" applyFill="1" applyBorder="1" applyProtection="1"/>
    <xf numFmtId="0" fontId="0" fillId="9" borderId="37" xfId="0" applyFill="1" applyBorder="1" applyProtection="1"/>
    <xf numFmtId="0" fontId="16" fillId="5" borderId="0" xfId="0" applyFont="1" applyFill="1" applyBorder="1" applyProtection="1"/>
    <xf numFmtId="0" fontId="0" fillId="5" borderId="0" xfId="0" applyFill="1" applyBorder="1" applyAlignment="1" applyProtection="1">
      <alignment horizontal="center"/>
    </xf>
    <xf numFmtId="0" fontId="0" fillId="9" borderId="37" xfId="0" applyFill="1" applyBorder="1" applyAlignment="1" applyProtection="1">
      <alignment horizontal="center"/>
    </xf>
    <xf numFmtId="169" fontId="0" fillId="5" borderId="0" xfId="0" applyNumberFormat="1" applyFill="1" applyBorder="1" applyProtection="1"/>
    <xf numFmtId="169" fontId="0" fillId="5" borderId="0" xfId="0" applyNumberFormat="1" applyFill="1" applyBorder="1" applyAlignment="1" applyProtection="1">
      <alignment horizontal="centerContinuous"/>
    </xf>
    <xf numFmtId="0" fontId="13" fillId="3" borderId="36" xfId="0" applyFont="1" applyFill="1" applyBorder="1" applyProtection="1"/>
    <xf numFmtId="9" fontId="4" fillId="3" borderId="0" xfId="0" applyNumberFormat="1" applyFont="1" applyFill="1" applyBorder="1" applyAlignment="1" applyProtection="1">
      <alignment horizontal="center"/>
    </xf>
    <xf numFmtId="0" fontId="4" fillId="3" borderId="0" xfId="0" applyFont="1" applyFill="1" applyBorder="1" applyAlignment="1" applyProtection="1">
      <alignment horizontal="center"/>
    </xf>
    <xf numFmtId="168" fontId="15" fillId="3" borderId="0" xfId="0" applyNumberFormat="1" applyFont="1" applyFill="1" applyBorder="1" applyAlignment="1" applyProtection="1">
      <alignment horizontal="center"/>
    </xf>
    <xf numFmtId="0" fontId="0" fillId="3" borderId="0" xfId="0" applyFill="1" applyBorder="1" applyAlignment="1" applyProtection="1">
      <alignment horizontal="left"/>
    </xf>
    <xf numFmtId="166" fontId="0" fillId="3" borderId="0" xfId="0" applyNumberFormat="1" applyFill="1" applyBorder="1" applyProtection="1"/>
    <xf numFmtId="0" fontId="0" fillId="3" borderId="0" xfId="0" applyFill="1" applyBorder="1" applyAlignment="1" applyProtection="1">
      <alignment horizontal="center"/>
    </xf>
    <xf numFmtId="0" fontId="0" fillId="3" borderId="37" xfId="0" applyFill="1" applyBorder="1" applyProtection="1"/>
    <xf numFmtId="0" fontId="22" fillId="3" borderId="36" xfId="0" applyFont="1" applyFill="1" applyBorder="1" applyAlignment="1" applyProtection="1">
      <alignment horizontal="left"/>
    </xf>
    <xf numFmtId="0" fontId="4" fillId="3" borderId="36" xfId="0" applyFont="1" applyFill="1" applyBorder="1" applyAlignment="1" applyProtection="1">
      <alignment horizontal="right"/>
    </xf>
    <xf numFmtId="0" fontId="4" fillId="3" borderId="61" xfId="0" applyFont="1" applyFill="1" applyBorder="1" applyAlignment="1" applyProtection="1">
      <alignment horizontal="right"/>
    </xf>
    <xf numFmtId="0" fontId="11" fillId="3" borderId="36" xfId="0" applyFont="1" applyFill="1" applyBorder="1" applyProtection="1"/>
    <xf numFmtId="9" fontId="15" fillId="3" borderId="0" xfId="0" applyNumberFormat="1" applyFont="1" applyFill="1" applyBorder="1" applyAlignment="1" applyProtection="1">
      <alignment horizontal="center"/>
    </xf>
    <xf numFmtId="10" fontId="15" fillId="3" borderId="0" xfId="0" applyNumberFormat="1" applyFont="1" applyFill="1" applyBorder="1" applyAlignment="1" applyProtection="1">
      <alignment horizontal="center"/>
    </xf>
    <xf numFmtId="0" fontId="11" fillId="8" borderId="36" xfId="0" applyFont="1" applyFill="1" applyBorder="1" applyProtection="1"/>
    <xf numFmtId="9" fontId="15" fillId="8" borderId="0" xfId="0" applyNumberFormat="1" applyFont="1" applyFill="1" applyBorder="1" applyAlignment="1" applyProtection="1">
      <alignment horizontal="center"/>
    </xf>
    <xf numFmtId="10" fontId="17" fillId="8" borderId="0" xfId="0" applyNumberFormat="1" applyFont="1" applyFill="1" applyBorder="1" applyAlignment="1" applyProtection="1">
      <alignment horizontal="center"/>
    </xf>
    <xf numFmtId="0" fontId="0" fillId="8" borderId="0" xfId="0" applyFill="1" applyBorder="1" applyAlignment="1" applyProtection="1">
      <alignment horizontal="left"/>
    </xf>
    <xf numFmtId="0" fontId="0" fillId="8" borderId="0" xfId="0" applyFill="1" applyBorder="1" applyProtection="1"/>
    <xf numFmtId="0" fontId="0" fillId="8" borderId="0" xfId="0" applyFill="1" applyBorder="1" applyAlignment="1" applyProtection="1">
      <alignment horizontal="center"/>
    </xf>
    <xf numFmtId="0" fontId="0" fillId="8" borderId="37" xfId="0" applyFill="1" applyBorder="1" applyProtection="1"/>
    <xf numFmtId="0" fontId="10" fillId="8" borderId="36" xfId="0" applyFont="1" applyFill="1" applyBorder="1" applyProtection="1"/>
    <xf numFmtId="169" fontId="10" fillId="8" borderId="0" xfId="0" applyNumberFormat="1" applyFont="1" applyFill="1" applyBorder="1" applyAlignment="1" applyProtection="1">
      <alignment horizontal="center"/>
    </xf>
    <xf numFmtId="169" fontId="19" fillId="8" borderId="0" xfId="0" applyNumberFormat="1" applyFont="1" applyFill="1" applyBorder="1" applyAlignment="1" applyProtection="1">
      <alignment horizontal="left"/>
    </xf>
    <xf numFmtId="0" fontId="10" fillId="8" borderId="0" xfId="0" applyFont="1" applyFill="1" applyBorder="1" applyAlignment="1" applyProtection="1">
      <alignment horizontal="center"/>
    </xf>
    <xf numFmtId="0" fontId="0" fillId="8" borderId="37" xfId="0" applyFill="1" applyBorder="1" applyAlignment="1" applyProtection="1">
      <alignment horizontal="center"/>
    </xf>
    <xf numFmtId="169" fontId="19" fillId="8" borderId="0" xfId="0" applyNumberFormat="1" applyFont="1" applyFill="1" applyBorder="1" applyAlignment="1" applyProtection="1">
      <alignment horizontal="centerContinuous"/>
    </xf>
    <xf numFmtId="169" fontId="10" fillId="8" borderId="0" xfId="0" applyNumberFormat="1" applyFont="1" applyFill="1" applyBorder="1" applyAlignment="1" applyProtection="1">
      <alignment horizontal="centerContinuous"/>
    </xf>
    <xf numFmtId="169" fontId="19" fillId="8" borderId="0" xfId="0" applyNumberFormat="1" applyFont="1" applyFill="1" applyBorder="1" applyAlignment="1" applyProtection="1">
      <alignment horizontal="center"/>
    </xf>
    <xf numFmtId="0" fontId="19" fillId="8" borderId="0" xfId="0" applyFont="1" applyFill="1" applyBorder="1" applyAlignment="1" applyProtection="1">
      <alignment horizontal="center"/>
    </xf>
    <xf numFmtId="0" fontId="10" fillId="8" borderId="36" xfId="0" applyFont="1" applyFill="1" applyBorder="1" applyAlignment="1" applyProtection="1">
      <alignment horizontal="center"/>
    </xf>
    <xf numFmtId="10" fontId="10" fillId="8" borderId="0" xfId="0" applyNumberFormat="1" applyFont="1" applyFill="1" applyBorder="1" applyAlignment="1" applyProtection="1">
      <alignment horizontal="center"/>
    </xf>
    <xf numFmtId="2" fontId="10" fillId="8" borderId="0" xfId="0" applyNumberFormat="1" applyFont="1" applyFill="1" applyBorder="1" applyAlignment="1" applyProtection="1">
      <alignment horizontal="center"/>
    </xf>
    <xf numFmtId="2" fontId="20" fillId="8" borderId="0" xfId="0" applyNumberFormat="1" applyFont="1" applyFill="1" applyBorder="1" applyAlignment="1" applyProtection="1">
      <alignment horizontal="center"/>
    </xf>
    <xf numFmtId="2" fontId="21" fillId="8" borderId="0" xfId="0" applyNumberFormat="1" applyFont="1" applyFill="1" applyBorder="1" applyProtection="1"/>
    <xf numFmtId="2" fontId="0" fillId="8" borderId="0" xfId="0" applyNumberFormat="1" applyFill="1" applyBorder="1" applyProtection="1"/>
    <xf numFmtId="0" fontId="0" fillId="8" borderId="36" xfId="0" applyFill="1" applyBorder="1" applyProtection="1"/>
    <xf numFmtId="0" fontId="4" fillId="8" borderId="38" xfId="0" applyFont="1" applyFill="1" applyBorder="1" applyAlignment="1" applyProtection="1">
      <alignment horizontal="left"/>
    </xf>
    <xf numFmtId="0" fontId="0" fillId="8" borderId="39" xfId="0" applyFill="1" applyBorder="1" applyProtection="1"/>
    <xf numFmtId="0" fontId="16" fillId="8" borderId="39" xfId="0" applyFont="1" applyFill="1" applyBorder="1" applyAlignment="1" applyProtection="1">
      <alignment horizontal="center"/>
    </xf>
    <xf numFmtId="0" fontId="0" fillId="8" borderId="40" xfId="0" applyFill="1" applyBorder="1" applyProtection="1"/>
    <xf numFmtId="0" fontId="10" fillId="0" borderId="0" xfId="0" applyFont="1" applyFill="1" applyAlignment="1" applyProtection="1">
      <alignment horizontal="right"/>
    </xf>
    <xf numFmtId="0" fontId="1" fillId="0" borderId="0" xfId="0" applyFont="1" applyAlignment="1" applyProtection="1">
      <alignment horizontal="center"/>
    </xf>
    <xf numFmtId="0" fontId="1" fillId="0" borderId="0" xfId="0" applyFont="1" applyBorder="1" applyAlignment="1" applyProtection="1">
      <alignment horizontal="center"/>
    </xf>
    <xf numFmtId="0" fontId="1" fillId="0" borderId="0" xfId="0" applyFont="1" applyFill="1" applyAlignment="1" applyProtection="1">
      <alignment horizontal="center"/>
    </xf>
    <xf numFmtId="173" fontId="1" fillId="0" borderId="0" xfId="0" applyNumberFormat="1" applyFont="1" applyFill="1" applyAlignment="1" applyProtection="1">
      <alignment horizontal="center"/>
    </xf>
    <xf numFmtId="4" fontId="1" fillId="0" borderId="0" xfId="0" applyNumberFormat="1" applyFont="1" applyFill="1" applyAlignment="1" applyProtection="1">
      <alignment horizontal="center"/>
    </xf>
    <xf numFmtId="0" fontId="0" fillId="0" borderId="0" xfId="0" applyBorder="1" applyAlignment="1" applyProtection="1">
      <alignment horizontal="center"/>
    </xf>
    <xf numFmtId="3" fontId="0" fillId="0" borderId="0" xfId="0" applyNumberFormat="1" applyFill="1" applyAlignment="1" applyProtection="1">
      <alignment horizontal="center"/>
    </xf>
    <xf numFmtId="173" fontId="0" fillId="0" borderId="0" xfId="0" applyNumberFormat="1" applyFill="1" applyAlignment="1" applyProtection="1">
      <alignment horizontal="center"/>
    </xf>
    <xf numFmtId="4" fontId="0" fillId="0" borderId="0" xfId="0" applyNumberFormat="1" applyFill="1" applyAlignment="1" applyProtection="1">
      <alignment horizontal="center"/>
    </xf>
    <xf numFmtId="3" fontId="0" fillId="0" borderId="0" xfId="0" applyNumberFormat="1" applyAlignment="1" applyProtection="1">
      <alignment horizontal="center"/>
    </xf>
    <xf numFmtId="4" fontId="0" fillId="0" borderId="0" xfId="0" applyNumberFormat="1" applyFill="1" applyProtection="1"/>
    <xf numFmtId="0" fontId="1" fillId="0" borderId="20" xfId="0" applyFont="1" applyBorder="1" applyProtection="1"/>
    <xf numFmtId="0" fontId="0" fillId="0" borderId="10" xfId="0" applyBorder="1" applyAlignment="1" applyProtection="1">
      <alignment horizontal="center"/>
    </xf>
    <xf numFmtId="0" fontId="0" fillId="0" borderId="3" xfId="0" applyBorder="1" applyAlignment="1" applyProtection="1">
      <alignment horizontal="center"/>
    </xf>
    <xf numFmtId="0" fontId="0" fillId="0" borderId="4" xfId="0" applyBorder="1" applyAlignment="1" applyProtection="1">
      <alignment horizontal="center"/>
    </xf>
    <xf numFmtId="0" fontId="1" fillId="0" borderId="21" xfId="0" applyFont="1" applyBorder="1" applyAlignment="1" applyProtection="1">
      <alignment horizontal="right"/>
    </xf>
    <xf numFmtId="0" fontId="0" fillId="0" borderId="11" xfId="0" applyBorder="1" applyAlignment="1" applyProtection="1">
      <alignment horizontal="center"/>
    </xf>
    <xf numFmtId="0" fontId="1" fillId="0" borderId="22" xfId="0" applyFont="1" applyBorder="1" applyAlignment="1" applyProtection="1">
      <alignment horizontal="right"/>
    </xf>
    <xf numFmtId="0" fontId="0" fillId="0" borderId="1" xfId="0" applyBorder="1" applyAlignment="1" applyProtection="1">
      <alignment horizontal="center"/>
    </xf>
    <xf numFmtId="4" fontId="0" fillId="0" borderId="1" xfId="0" applyNumberFormat="1" applyBorder="1" applyAlignment="1" applyProtection="1">
      <alignment horizontal="center"/>
    </xf>
    <xf numFmtId="0" fontId="1" fillId="0" borderId="23" xfId="0" applyFont="1" applyBorder="1" applyAlignment="1" applyProtection="1">
      <alignment horizontal="right"/>
    </xf>
    <xf numFmtId="4" fontId="0" fillId="0" borderId="2" xfId="0" applyNumberFormat="1" applyBorder="1" applyAlignment="1" applyProtection="1">
      <alignment horizontal="center"/>
    </xf>
    <xf numFmtId="0" fontId="1" fillId="0" borderId="5" xfId="0" applyFont="1" applyFill="1" applyBorder="1" applyAlignment="1" applyProtection="1">
      <alignment horizontal="right"/>
    </xf>
    <xf numFmtId="0" fontId="0" fillId="0" borderId="30" xfId="0" applyBorder="1" applyProtection="1"/>
    <xf numFmtId="0" fontId="8" fillId="0" borderId="30" xfId="0" applyFont="1" applyBorder="1" applyAlignment="1" applyProtection="1">
      <alignment horizontal="center"/>
    </xf>
    <xf numFmtId="0" fontId="0" fillId="0" borderId="6" xfId="0" applyBorder="1" applyProtection="1"/>
    <xf numFmtId="0" fontId="0" fillId="0" borderId="7" xfId="0" applyBorder="1" applyProtection="1"/>
    <xf numFmtId="0" fontId="0" fillId="0" borderId="0" xfId="0" applyBorder="1" applyProtection="1"/>
    <xf numFmtId="0" fontId="1" fillId="0" borderId="0" xfId="0" applyFont="1" applyBorder="1" applyAlignment="1" applyProtection="1">
      <alignment horizontal="right"/>
    </xf>
    <xf numFmtId="4" fontId="0" fillId="0" borderId="0" xfId="0" applyNumberFormat="1" applyBorder="1" applyAlignment="1" applyProtection="1">
      <alignment horizontal="center"/>
    </xf>
    <xf numFmtId="0" fontId="0" fillId="0" borderId="8" xfId="0" applyBorder="1" applyProtection="1"/>
    <xf numFmtId="0" fontId="1" fillId="11" borderId="7" xfId="0" applyFont="1" applyFill="1" applyBorder="1" applyAlignment="1" applyProtection="1">
      <alignment horizontal="right"/>
    </xf>
    <xf numFmtId="3" fontId="0" fillId="11" borderId="0" xfId="0" applyNumberFormat="1" applyFill="1" applyBorder="1" applyAlignment="1" applyProtection="1">
      <alignment horizontal="center"/>
    </xf>
    <xf numFmtId="3" fontId="0" fillId="0" borderId="0" xfId="0" applyNumberFormat="1" applyBorder="1" applyAlignment="1" applyProtection="1">
      <alignment horizontal="center"/>
    </xf>
    <xf numFmtId="0" fontId="1" fillId="0" borderId="7" xfId="0" applyFont="1" applyFill="1" applyBorder="1" applyAlignment="1" applyProtection="1">
      <alignment horizontal="right"/>
    </xf>
    <xf numFmtId="165" fontId="0" fillId="0" borderId="0" xfId="0" applyNumberFormat="1" applyBorder="1" applyAlignment="1" applyProtection="1">
      <alignment horizontal="center"/>
    </xf>
    <xf numFmtId="10" fontId="0" fillId="0" borderId="0" xfId="0" applyNumberFormat="1" applyBorder="1" applyAlignment="1" applyProtection="1">
      <alignment horizontal="center"/>
    </xf>
    <xf numFmtId="10" fontId="0" fillId="0" borderId="0" xfId="0" applyNumberFormat="1" applyBorder="1" applyProtection="1"/>
    <xf numFmtId="171" fontId="0" fillId="0" borderId="0" xfId="0" applyNumberFormat="1" applyBorder="1" applyAlignment="1" applyProtection="1">
      <alignment horizontal="center"/>
    </xf>
    <xf numFmtId="4" fontId="1" fillId="0" borderId="0" xfId="0" applyNumberFormat="1" applyFont="1" applyBorder="1" applyAlignment="1" applyProtection="1">
      <alignment horizontal="right"/>
    </xf>
    <xf numFmtId="4" fontId="0" fillId="11" borderId="0" xfId="0" applyNumberFormat="1" applyFill="1" applyBorder="1" applyAlignment="1" applyProtection="1">
      <alignment horizontal="center"/>
    </xf>
    <xf numFmtId="0" fontId="0" fillId="0" borderId="9" xfId="0" applyBorder="1" applyProtection="1"/>
    <xf numFmtId="0" fontId="0" fillId="0" borderId="31" xfId="0" applyBorder="1" applyProtection="1"/>
    <xf numFmtId="0" fontId="0" fillId="0" borderId="46" xfId="0" applyBorder="1" applyProtection="1"/>
    <xf numFmtId="4" fontId="0" fillId="0" borderId="0" xfId="0" applyNumberFormat="1" applyProtection="1"/>
    <xf numFmtId="164" fontId="0" fillId="0" borderId="0" xfId="0" applyNumberFormat="1" applyFill="1" applyAlignment="1" applyProtection="1">
      <alignment horizontal="center"/>
    </xf>
    <xf numFmtId="172" fontId="0" fillId="0" borderId="0" xfId="0" applyNumberFormat="1" applyFill="1" applyAlignment="1" applyProtection="1">
      <alignment horizontal="center"/>
    </xf>
    <xf numFmtId="0" fontId="0" fillId="0" borderId="1" xfId="0" applyNumberFormat="1" applyBorder="1" applyAlignment="1" applyProtection="1">
      <alignment horizontal="center"/>
    </xf>
    <xf numFmtId="0" fontId="8" fillId="0" borderId="5" xfId="0" applyFont="1" applyFill="1" applyBorder="1" applyAlignment="1" applyProtection="1">
      <alignment horizontal="right"/>
    </xf>
    <xf numFmtId="0" fontId="8" fillId="0" borderId="0" xfId="0" applyFont="1" applyBorder="1" applyAlignment="1" applyProtection="1">
      <alignment horizontal="center"/>
    </xf>
    <xf numFmtId="3" fontId="0" fillId="11" borderId="8" xfId="0" applyNumberFormat="1" applyFill="1" applyBorder="1" applyAlignment="1" applyProtection="1">
      <alignment horizontal="center"/>
    </xf>
    <xf numFmtId="0" fontId="1" fillId="0" borderId="7" xfId="0" applyFont="1" applyBorder="1" applyAlignment="1" applyProtection="1">
      <alignment horizontal="right"/>
    </xf>
    <xf numFmtId="3" fontId="0" fillId="0" borderId="8" xfId="0" applyNumberFormat="1" applyBorder="1" applyAlignment="1" applyProtection="1">
      <alignment horizontal="center"/>
    </xf>
    <xf numFmtId="165" fontId="0" fillId="0" borderId="8" xfId="0" applyNumberFormat="1" applyBorder="1" applyAlignment="1" applyProtection="1">
      <alignment horizontal="center"/>
    </xf>
    <xf numFmtId="10" fontId="0" fillId="0" borderId="8" xfId="0" applyNumberFormat="1" applyBorder="1" applyAlignment="1" applyProtection="1">
      <alignment horizontal="center"/>
    </xf>
    <xf numFmtId="2" fontId="0" fillId="0" borderId="8" xfId="0" applyNumberFormat="1" applyBorder="1" applyAlignment="1" applyProtection="1">
      <alignment horizontal="center"/>
    </xf>
    <xf numFmtId="167" fontId="0" fillId="0" borderId="8" xfId="0" applyNumberFormat="1" applyBorder="1" applyProtection="1"/>
    <xf numFmtId="0" fontId="0" fillId="6" borderId="0" xfId="0" applyFill="1" applyProtection="1"/>
    <xf numFmtId="0" fontId="11" fillId="14" borderId="51" xfId="0" applyFont="1" applyFill="1" applyBorder="1" applyAlignment="1" applyProtection="1">
      <alignment horizontal="center"/>
    </xf>
    <xf numFmtId="0" fontId="23" fillId="14" borderId="51" xfId="0" applyFont="1" applyFill="1" applyBorder="1" applyAlignment="1" applyProtection="1">
      <alignment horizontal="center"/>
    </xf>
    <xf numFmtId="10" fontId="4" fillId="7" borderId="0" xfId="0" applyNumberFormat="1" applyFont="1" applyFill="1" applyBorder="1" applyAlignment="1" applyProtection="1">
      <alignment horizontal="center"/>
    </xf>
    <xf numFmtId="10" fontId="4" fillId="15" borderId="0" xfId="0" applyNumberFormat="1" applyFont="1" applyFill="1" applyBorder="1" applyAlignment="1" applyProtection="1">
      <alignment horizontal="center"/>
    </xf>
    <xf numFmtId="10" fontId="4" fillId="7" borderId="1" xfId="0" applyNumberFormat="1" applyFont="1" applyFill="1" applyBorder="1" applyAlignment="1" applyProtection="1">
      <alignment horizontal="center"/>
    </xf>
    <xf numFmtId="0" fontId="2" fillId="2" borderId="0" xfId="0" applyFont="1" applyFill="1" applyAlignment="1" applyProtection="1">
      <alignment horizontal="center"/>
    </xf>
    <xf numFmtId="4" fontId="3" fillId="2" borderId="45" xfId="0" applyNumberFormat="1" applyFont="1" applyFill="1" applyBorder="1" applyAlignment="1" applyProtection="1">
      <alignment horizontal="center" vertical="center"/>
      <protection locked="0"/>
    </xf>
    <xf numFmtId="4" fontId="3" fillId="2" borderId="44" xfId="0" applyNumberFormat="1" applyFont="1" applyFill="1" applyBorder="1" applyAlignment="1" applyProtection="1">
      <alignment horizontal="center" vertical="center"/>
      <protection locked="0"/>
    </xf>
    <xf numFmtId="0" fontId="28" fillId="3" borderId="7" xfId="0" applyFont="1" applyFill="1" applyBorder="1" applyAlignment="1" applyProtection="1">
      <alignment horizontal="center" vertical="center"/>
    </xf>
  </cellXfs>
  <cellStyles count="1">
    <cellStyle name="Normal" xfId="0" builtinId="0"/>
  </cellStyles>
  <dxfs count="0"/>
  <tableStyles count="0" defaultTableStyle="TableStyleMedium2" defaultPivotStyle="PivotStyleLight16"/>
  <colors>
    <mruColors>
      <color rgb="FF0000FF"/>
      <color rgb="FFCDE8EF"/>
      <color rgb="FF8EE9EE"/>
      <color rgb="FFFF99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16" fmlaLink="'Base Rate Calculation'!$I$5" fmlaRange="'Base Rate Calculation'!$C$5:$C$57" noThreeD="1" sel="5" val="3"/>
</file>

<file path=xl/ctrlProps/ctrlProp2.xml><?xml version="1.0" encoding="utf-8"?>
<formControlPr xmlns="http://schemas.microsoft.com/office/spreadsheetml/2009/9/main" objectType="Drop" dropStyle="combo" dx="16" fmlaLink="'Base Rate Calculation'!$J$5" fmlaRange="'Base Rate Calculation'!$G$5:$G$20" noThreeD="1" sel="16" val="8"/>
</file>

<file path=xl/ctrlProps/ctrlProp3.xml><?xml version="1.0" encoding="utf-8"?>
<formControlPr xmlns="http://schemas.microsoft.com/office/spreadsheetml/2009/9/main" objectType="Drop" dropStyle="combo" dx="16" fmlaLink="'Base Rate Calculation'!$K$5" fmlaRange="'Base Rate Calculation'!$E$5:$E$21" noThreeD="1" sel="17" val="9"/>
</file>

<file path=xl/ctrlProps/ctrlProp4.xml><?xml version="1.0" encoding="utf-8"?>
<formControlPr xmlns="http://schemas.microsoft.com/office/spreadsheetml/2009/9/main" objectType="Drop" dropStyle="combo" dx="16" fmlaLink="'AFR Calculation'!$I$1" fmlaRange="'AFR Calculation'!$C$1:$C$53" noThreeD="1" sel="53" val="45"/>
</file>

<file path=xl/ctrlProps/ctrlProp5.xml><?xml version="1.0" encoding="utf-8"?>
<formControlPr xmlns="http://schemas.microsoft.com/office/spreadsheetml/2009/9/main" objectType="Drop" dropStyle="combo" dx="16" fmlaLink="'AFR Calculation'!$K$1" fmlaRange="'AFR Calculation'!$E$1:$E$17" noThreeD="1" sel="17" val="9"/>
</file>

<file path=xl/ctrlProps/ctrlProp6.xml><?xml version="1.0" encoding="utf-8"?>
<formControlPr xmlns="http://schemas.microsoft.com/office/spreadsheetml/2009/9/main" objectType="Drop" dropStyle="combo" dx="16" fmlaLink="'AFR Calculation'!$J$1" fmlaRange="'AFR Calculation'!$G$1:$G$16" noThreeD="1" sel="6" val="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9</xdr:col>
          <xdr:colOff>47625</xdr:colOff>
          <xdr:row>6</xdr:row>
          <xdr:rowOff>95250</xdr:rowOff>
        </xdr:from>
        <xdr:to>
          <xdr:col>11</xdr:col>
          <xdr:colOff>28575</xdr:colOff>
          <xdr:row>7</xdr:row>
          <xdr:rowOff>228600</xdr:rowOff>
        </xdr:to>
        <xdr:sp macro="" textlink="">
          <xdr:nvSpPr>
            <xdr:cNvPr id="1030" name="Drop Down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66675</xdr:colOff>
          <xdr:row>11</xdr:row>
          <xdr:rowOff>9525</xdr:rowOff>
        </xdr:from>
        <xdr:to>
          <xdr:col>9</xdr:col>
          <xdr:colOff>704850</xdr:colOff>
          <xdr:row>12</xdr:row>
          <xdr:rowOff>0</xdr:rowOff>
        </xdr:to>
        <xdr:sp macro="" textlink="">
          <xdr:nvSpPr>
            <xdr:cNvPr id="1031" name="Drop Down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57150</xdr:colOff>
          <xdr:row>9</xdr:row>
          <xdr:rowOff>0</xdr:rowOff>
        </xdr:from>
        <xdr:to>
          <xdr:col>10</xdr:col>
          <xdr:colOff>400050</xdr:colOff>
          <xdr:row>10</xdr:row>
          <xdr:rowOff>0</xdr:rowOff>
        </xdr:to>
        <xdr:sp macro="" textlink="">
          <xdr:nvSpPr>
            <xdr:cNvPr id="1032" name="Drop Down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13</xdr:col>
      <xdr:colOff>295275</xdr:colOff>
      <xdr:row>44</xdr:row>
      <xdr:rowOff>180975</xdr:rowOff>
    </xdr:from>
    <xdr:ext cx="184731" cy="264560"/>
    <xdr:sp macro="" textlink="">
      <xdr:nvSpPr>
        <xdr:cNvPr id="2" name="TextBox 1"/>
        <xdr:cNvSpPr txBox="1"/>
      </xdr:nvSpPr>
      <xdr:spPr>
        <a:xfrm>
          <a:off x="11668125" y="1066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295275</xdr:colOff>
      <xdr:row>44</xdr:row>
      <xdr:rowOff>180975</xdr:rowOff>
    </xdr:from>
    <xdr:ext cx="184731" cy="264560"/>
    <xdr:sp macro="" textlink="">
      <xdr:nvSpPr>
        <xdr:cNvPr id="3" name="TextBox 2"/>
        <xdr:cNvSpPr txBox="1"/>
      </xdr:nvSpPr>
      <xdr:spPr>
        <a:xfrm>
          <a:off x="8382000" y="1066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9</xdr:col>
      <xdr:colOff>295275</xdr:colOff>
      <xdr:row>44</xdr:row>
      <xdr:rowOff>180975</xdr:rowOff>
    </xdr:from>
    <xdr:ext cx="184731" cy="264560"/>
    <xdr:sp macro="" textlink="">
      <xdr:nvSpPr>
        <xdr:cNvPr id="4" name="TextBox 3"/>
        <xdr:cNvSpPr txBox="1"/>
      </xdr:nvSpPr>
      <xdr:spPr>
        <a:xfrm>
          <a:off x="9039225" y="1066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10</xdr:col>
      <xdr:colOff>295275</xdr:colOff>
      <xdr:row>44</xdr:row>
      <xdr:rowOff>180975</xdr:rowOff>
    </xdr:from>
    <xdr:ext cx="184731" cy="264560"/>
    <xdr:sp macro="" textlink="">
      <xdr:nvSpPr>
        <xdr:cNvPr id="5" name="TextBox 4"/>
        <xdr:cNvSpPr txBox="1"/>
      </xdr:nvSpPr>
      <xdr:spPr>
        <a:xfrm>
          <a:off x="9696450" y="1066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11</xdr:col>
      <xdr:colOff>295275</xdr:colOff>
      <xdr:row>44</xdr:row>
      <xdr:rowOff>180975</xdr:rowOff>
    </xdr:from>
    <xdr:ext cx="184731" cy="264560"/>
    <xdr:sp macro="" textlink="">
      <xdr:nvSpPr>
        <xdr:cNvPr id="6" name="TextBox 5"/>
        <xdr:cNvSpPr txBox="1"/>
      </xdr:nvSpPr>
      <xdr:spPr>
        <a:xfrm>
          <a:off x="10353675" y="1066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12</xdr:col>
      <xdr:colOff>295275</xdr:colOff>
      <xdr:row>44</xdr:row>
      <xdr:rowOff>180975</xdr:rowOff>
    </xdr:from>
    <xdr:ext cx="184731" cy="264560"/>
    <xdr:sp macro="" textlink="">
      <xdr:nvSpPr>
        <xdr:cNvPr id="7" name="TextBox 6"/>
        <xdr:cNvSpPr txBox="1"/>
      </xdr:nvSpPr>
      <xdr:spPr>
        <a:xfrm>
          <a:off x="11010900" y="1066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7</xdr:col>
      <xdr:colOff>295275</xdr:colOff>
      <xdr:row>44</xdr:row>
      <xdr:rowOff>180975</xdr:rowOff>
    </xdr:from>
    <xdr:ext cx="184731" cy="264560"/>
    <xdr:sp macro="" textlink="">
      <xdr:nvSpPr>
        <xdr:cNvPr id="8" name="TextBox 7"/>
        <xdr:cNvSpPr txBox="1"/>
      </xdr:nvSpPr>
      <xdr:spPr>
        <a:xfrm>
          <a:off x="7724775" y="1066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5</xdr:col>
      <xdr:colOff>295275</xdr:colOff>
      <xdr:row>44</xdr:row>
      <xdr:rowOff>180975</xdr:rowOff>
    </xdr:from>
    <xdr:ext cx="184731" cy="264560"/>
    <xdr:sp macro="" textlink="">
      <xdr:nvSpPr>
        <xdr:cNvPr id="9" name="TextBox 8"/>
        <xdr:cNvSpPr txBox="1"/>
      </xdr:nvSpPr>
      <xdr:spPr>
        <a:xfrm>
          <a:off x="6410325" y="1066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295275</xdr:colOff>
      <xdr:row>44</xdr:row>
      <xdr:rowOff>180975</xdr:rowOff>
    </xdr:from>
    <xdr:ext cx="184731" cy="264560"/>
    <xdr:sp macro="" textlink="">
      <xdr:nvSpPr>
        <xdr:cNvPr id="10" name="TextBox 9"/>
        <xdr:cNvSpPr txBox="1"/>
      </xdr:nvSpPr>
      <xdr:spPr>
        <a:xfrm>
          <a:off x="5753100" y="1066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7</xdr:col>
      <xdr:colOff>295275</xdr:colOff>
      <xdr:row>44</xdr:row>
      <xdr:rowOff>180975</xdr:rowOff>
    </xdr:from>
    <xdr:ext cx="184731" cy="264560"/>
    <xdr:sp macro="" textlink="">
      <xdr:nvSpPr>
        <xdr:cNvPr id="11" name="TextBox 10"/>
        <xdr:cNvSpPr txBox="1"/>
      </xdr:nvSpPr>
      <xdr:spPr>
        <a:xfrm>
          <a:off x="7724775" y="1066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13</xdr:col>
      <xdr:colOff>295275</xdr:colOff>
      <xdr:row>47</xdr:row>
      <xdr:rowOff>180975</xdr:rowOff>
    </xdr:from>
    <xdr:ext cx="184731" cy="264560"/>
    <xdr:sp macro="" textlink="">
      <xdr:nvSpPr>
        <xdr:cNvPr id="12" name="TextBox 11"/>
        <xdr:cNvSpPr txBox="1"/>
      </xdr:nvSpPr>
      <xdr:spPr>
        <a:xfrm>
          <a:off x="11668125" y="1123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295275</xdr:colOff>
      <xdr:row>47</xdr:row>
      <xdr:rowOff>180975</xdr:rowOff>
    </xdr:from>
    <xdr:ext cx="184731" cy="264560"/>
    <xdr:sp macro="" textlink="">
      <xdr:nvSpPr>
        <xdr:cNvPr id="13" name="TextBox 12"/>
        <xdr:cNvSpPr txBox="1"/>
      </xdr:nvSpPr>
      <xdr:spPr>
        <a:xfrm>
          <a:off x="8382000" y="1123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9</xdr:col>
      <xdr:colOff>295275</xdr:colOff>
      <xdr:row>47</xdr:row>
      <xdr:rowOff>180975</xdr:rowOff>
    </xdr:from>
    <xdr:ext cx="184731" cy="264560"/>
    <xdr:sp macro="" textlink="">
      <xdr:nvSpPr>
        <xdr:cNvPr id="14" name="TextBox 13"/>
        <xdr:cNvSpPr txBox="1"/>
      </xdr:nvSpPr>
      <xdr:spPr>
        <a:xfrm>
          <a:off x="9039225" y="1123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10</xdr:col>
      <xdr:colOff>295275</xdr:colOff>
      <xdr:row>47</xdr:row>
      <xdr:rowOff>180975</xdr:rowOff>
    </xdr:from>
    <xdr:ext cx="184731" cy="264560"/>
    <xdr:sp macro="" textlink="">
      <xdr:nvSpPr>
        <xdr:cNvPr id="15" name="TextBox 14"/>
        <xdr:cNvSpPr txBox="1"/>
      </xdr:nvSpPr>
      <xdr:spPr>
        <a:xfrm>
          <a:off x="9696450" y="1123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11</xdr:col>
      <xdr:colOff>295275</xdr:colOff>
      <xdr:row>47</xdr:row>
      <xdr:rowOff>180975</xdr:rowOff>
    </xdr:from>
    <xdr:ext cx="184731" cy="264560"/>
    <xdr:sp macro="" textlink="">
      <xdr:nvSpPr>
        <xdr:cNvPr id="16" name="TextBox 15"/>
        <xdr:cNvSpPr txBox="1"/>
      </xdr:nvSpPr>
      <xdr:spPr>
        <a:xfrm>
          <a:off x="10353675" y="1123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12</xdr:col>
      <xdr:colOff>295275</xdr:colOff>
      <xdr:row>47</xdr:row>
      <xdr:rowOff>180975</xdr:rowOff>
    </xdr:from>
    <xdr:ext cx="184731" cy="264560"/>
    <xdr:sp macro="" textlink="">
      <xdr:nvSpPr>
        <xdr:cNvPr id="17" name="TextBox 16"/>
        <xdr:cNvSpPr txBox="1"/>
      </xdr:nvSpPr>
      <xdr:spPr>
        <a:xfrm>
          <a:off x="11010900" y="1123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7</xdr:col>
      <xdr:colOff>295275</xdr:colOff>
      <xdr:row>47</xdr:row>
      <xdr:rowOff>180975</xdr:rowOff>
    </xdr:from>
    <xdr:ext cx="184731" cy="264560"/>
    <xdr:sp macro="" textlink="">
      <xdr:nvSpPr>
        <xdr:cNvPr id="18" name="TextBox 17"/>
        <xdr:cNvSpPr txBox="1"/>
      </xdr:nvSpPr>
      <xdr:spPr>
        <a:xfrm>
          <a:off x="7724775" y="1123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5</xdr:col>
      <xdr:colOff>295275</xdr:colOff>
      <xdr:row>47</xdr:row>
      <xdr:rowOff>180975</xdr:rowOff>
    </xdr:from>
    <xdr:ext cx="184731" cy="264560"/>
    <xdr:sp macro="" textlink="">
      <xdr:nvSpPr>
        <xdr:cNvPr id="19" name="TextBox 18"/>
        <xdr:cNvSpPr txBox="1"/>
      </xdr:nvSpPr>
      <xdr:spPr>
        <a:xfrm>
          <a:off x="6410325" y="1123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295275</xdr:colOff>
      <xdr:row>47</xdr:row>
      <xdr:rowOff>180975</xdr:rowOff>
    </xdr:from>
    <xdr:ext cx="184731" cy="264560"/>
    <xdr:sp macro="" textlink="">
      <xdr:nvSpPr>
        <xdr:cNvPr id="20" name="TextBox 19"/>
        <xdr:cNvSpPr txBox="1"/>
      </xdr:nvSpPr>
      <xdr:spPr>
        <a:xfrm>
          <a:off x="5753100" y="1123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7</xdr:col>
      <xdr:colOff>295275</xdr:colOff>
      <xdr:row>47</xdr:row>
      <xdr:rowOff>180975</xdr:rowOff>
    </xdr:from>
    <xdr:ext cx="184731" cy="264560"/>
    <xdr:sp macro="" textlink="">
      <xdr:nvSpPr>
        <xdr:cNvPr id="21" name="TextBox 20"/>
        <xdr:cNvSpPr txBox="1"/>
      </xdr:nvSpPr>
      <xdr:spPr>
        <a:xfrm>
          <a:off x="7724775" y="1123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7</xdr:col>
      <xdr:colOff>243416</xdr:colOff>
      <xdr:row>12</xdr:row>
      <xdr:rowOff>148167</xdr:rowOff>
    </xdr:from>
    <xdr:to>
      <xdr:col>9</xdr:col>
      <xdr:colOff>370416</xdr:colOff>
      <xdr:row>13</xdr:row>
      <xdr:rowOff>315299</xdr:rowOff>
    </xdr:to>
    <xdr:sp macro="" textlink="">
      <xdr:nvSpPr>
        <xdr:cNvPr id="2" name="Right Arrow 1"/>
        <xdr:cNvSpPr/>
      </xdr:nvSpPr>
      <xdr:spPr>
        <a:xfrm>
          <a:off x="8330141" y="2729442"/>
          <a:ext cx="1193800" cy="481457"/>
        </a:xfrm>
        <a:prstGeom prst="rightArrow">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7</xdr:col>
          <xdr:colOff>133350</xdr:colOff>
          <xdr:row>3</xdr:row>
          <xdr:rowOff>257175</xdr:rowOff>
        </xdr:from>
        <xdr:to>
          <xdr:col>9</xdr:col>
          <xdr:colOff>476250</xdr:colOff>
          <xdr:row>4</xdr:row>
          <xdr:rowOff>200025</xdr:rowOff>
        </xdr:to>
        <xdr:sp macro="" textlink="">
          <xdr:nvSpPr>
            <xdr:cNvPr id="4097" name="Drop Down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7</xdr:col>
          <xdr:colOff>142875</xdr:colOff>
          <xdr:row>5</xdr:row>
          <xdr:rowOff>152400</xdr:rowOff>
        </xdr:from>
        <xdr:to>
          <xdr:col>9</xdr:col>
          <xdr:colOff>238125</xdr:colOff>
          <xdr:row>6</xdr:row>
          <xdr:rowOff>200025</xdr:rowOff>
        </xdr:to>
        <xdr:sp macro="" textlink="">
          <xdr:nvSpPr>
            <xdr:cNvPr id="4098" name="Drop Down 2" hidden="1">
              <a:extLst>
                <a:ext uri="{63B3BB69-23CF-44E3-9099-C40C66FF867C}">
                  <a14:compatExt spid="_x0000_s4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xdr:col>
          <xdr:colOff>9525</xdr:colOff>
          <xdr:row>8</xdr:row>
          <xdr:rowOff>47625</xdr:rowOff>
        </xdr:from>
        <xdr:to>
          <xdr:col>8</xdr:col>
          <xdr:colOff>638175</xdr:colOff>
          <xdr:row>9</xdr:row>
          <xdr:rowOff>38100</xdr:rowOff>
        </xdr:to>
        <xdr:sp macro="" textlink="">
          <xdr:nvSpPr>
            <xdr:cNvPr id="4099" name="Drop Down 3" hidden="1">
              <a:extLst>
                <a:ext uri="{63B3BB69-23CF-44E3-9099-C40C66FF867C}">
                  <a14:compatExt spid="_x0000_s4099"/>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sheetPr>
  <dimension ref="B2:E52"/>
  <sheetViews>
    <sheetView topLeftCell="B17" workbookViewId="0">
      <selection activeCell="D35" sqref="D35"/>
    </sheetView>
  </sheetViews>
  <sheetFormatPr defaultRowHeight="15" x14ac:dyDescent="0.25"/>
  <cols>
    <col min="1" max="1" width="9.140625" style="50"/>
    <col min="2" max="2" width="11.85546875" style="50" customWidth="1"/>
    <col min="3" max="3" width="31.5703125" style="50" customWidth="1"/>
    <col min="4" max="4" width="9.140625" style="50"/>
    <col min="5" max="5" width="9.5703125" style="50" customWidth="1"/>
    <col min="6" max="16384" width="9.140625" style="50"/>
  </cols>
  <sheetData>
    <row r="2" spans="2:5" ht="26.25" x14ac:dyDescent="0.4">
      <c r="C2" s="135" t="s">
        <v>336</v>
      </c>
    </row>
    <row r="3" spans="2:5" ht="26.25" x14ac:dyDescent="0.4">
      <c r="C3" s="135" t="s">
        <v>337</v>
      </c>
    </row>
    <row r="4" spans="2:5" ht="26.25" x14ac:dyDescent="0.4">
      <c r="B4" s="135"/>
    </row>
    <row r="5" spans="2:5" ht="16.5" customHeight="1" x14ac:dyDescent="0.25"/>
    <row r="6" spans="2:5" ht="24.75" x14ac:dyDescent="0.5">
      <c r="D6" s="136" t="s">
        <v>338</v>
      </c>
    </row>
    <row r="8" spans="2:5" ht="18.75" x14ac:dyDescent="0.3">
      <c r="B8" s="137" t="s">
        <v>256</v>
      </c>
    </row>
    <row r="9" spans="2:5" ht="18.75" x14ac:dyDescent="0.3">
      <c r="B9" s="137" t="s">
        <v>323</v>
      </c>
    </row>
    <row r="11" spans="2:5" x14ac:dyDescent="0.25">
      <c r="B11" s="138" t="s">
        <v>274</v>
      </c>
      <c r="C11" s="138" t="s">
        <v>280</v>
      </c>
      <c r="E11" s="139" t="s">
        <v>339</v>
      </c>
    </row>
    <row r="12" spans="2:5" ht="17.25" x14ac:dyDescent="0.3">
      <c r="B12" s="140" t="s">
        <v>275</v>
      </c>
      <c r="C12" s="140" t="s">
        <v>279</v>
      </c>
      <c r="D12" s="141" t="s">
        <v>273</v>
      </c>
    </row>
    <row r="13" spans="2:5" ht="17.25" x14ac:dyDescent="0.3">
      <c r="D13" s="141" t="s">
        <v>326</v>
      </c>
    </row>
    <row r="14" spans="2:5" ht="17.25" x14ac:dyDescent="0.3">
      <c r="D14" s="141" t="s">
        <v>281</v>
      </c>
    </row>
    <row r="15" spans="2:5" ht="17.25" x14ac:dyDescent="0.3">
      <c r="D15" s="141" t="s">
        <v>282</v>
      </c>
    </row>
    <row r="16" spans="2:5" ht="10.5" customHeight="1" x14ac:dyDescent="0.3">
      <c r="D16" s="141"/>
    </row>
    <row r="17" spans="2:4" ht="17.25" x14ac:dyDescent="0.3">
      <c r="D17" s="141" t="s">
        <v>257</v>
      </c>
    </row>
    <row r="18" spans="2:4" ht="26.25" customHeight="1" x14ac:dyDescent="0.25"/>
    <row r="19" spans="2:4" ht="17.25" x14ac:dyDescent="0.3">
      <c r="B19" s="140" t="s">
        <v>276</v>
      </c>
      <c r="C19" s="140" t="s">
        <v>283</v>
      </c>
      <c r="D19" s="141" t="s">
        <v>327</v>
      </c>
    </row>
    <row r="20" spans="2:4" ht="17.25" x14ac:dyDescent="0.3">
      <c r="D20" s="141" t="s">
        <v>287</v>
      </c>
    </row>
    <row r="21" spans="2:4" ht="9.75" customHeight="1" x14ac:dyDescent="0.3">
      <c r="D21" s="141"/>
    </row>
    <row r="22" spans="2:4" ht="17.25" x14ac:dyDescent="0.3">
      <c r="D22" s="141" t="s">
        <v>288</v>
      </c>
    </row>
    <row r="23" spans="2:4" ht="17.25" x14ac:dyDescent="0.3">
      <c r="D23" s="141" t="s">
        <v>298</v>
      </c>
    </row>
    <row r="25" spans="2:4" ht="17.25" x14ac:dyDescent="0.3">
      <c r="B25" s="140" t="s">
        <v>277</v>
      </c>
      <c r="C25" s="140" t="s">
        <v>283</v>
      </c>
      <c r="D25" s="141" t="s">
        <v>299</v>
      </c>
    </row>
    <row r="26" spans="2:4" ht="17.25" x14ac:dyDescent="0.3">
      <c r="D26" s="141" t="s">
        <v>289</v>
      </c>
    </row>
    <row r="27" spans="2:4" ht="17.25" x14ac:dyDescent="0.3">
      <c r="D27" s="141" t="s">
        <v>300</v>
      </c>
    </row>
    <row r="28" spans="2:4" ht="17.25" x14ac:dyDescent="0.3">
      <c r="D28" s="141" t="s">
        <v>290</v>
      </c>
    </row>
    <row r="29" spans="2:4" ht="17.25" x14ac:dyDescent="0.3">
      <c r="D29" s="141"/>
    </row>
    <row r="30" spans="2:4" ht="17.25" x14ac:dyDescent="0.3">
      <c r="D30" s="141" t="s">
        <v>291</v>
      </c>
    </row>
    <row r="31" spans="2:4" ht="17.25" x14ac:dyDescent="0.3">
      <c r="D31" s="141" t="s">
        <v>293</v>
      </c>
    </row>
    <row r="32" spans="2:4" ht="17.25" x14ac:dyDescent="0.3">
      <c r="D32" s="141" t="s">
        <v>294</v>
      </c>
    </row>
    <row r="33" spans="2:4" ht="17.25" x14ac:dyDescent="0.3">
      <c r="D33" s="141" t="s">
        <v>295</v>
      </c>
    </row>
    <row r="34" spans="2:4" ht="17.25" x14ac:dyDescent="0.3">
      <c r="D34" s="141" t="s">
        <v>296</v>
      </c>
    </row>
    <row r="35" spans="2:4" ht="17.25" x14ac:dyDescent="0.3">
      <c r="D35" s="141" t="s">
        <v>351</v>
      </c>
    </row>
    <row r="36" spans="2:4" ht="17.25" x14ac:dyDescent="0.3">
      <c r="D36" s="141"/>
    </row>
    <row r="37" spans="2:4" ht="17.25" x14ac:dyDescent="0.3">
      <c r="B37" s="140" t="s">
        <v>278</v>
      </c>
      <c r="C37" s="140" t="s">
        <v>284</v>
      </c>
      <c r="D37" s="141" t="s">
        <v>349</v>
      </c>
    </row>
    <row r="38" spans="2:4" ht="17.25" x14ac:dyDescent="0.3">
      <c r="D38" s="141" t="s">
        <v>350</v>
      </c>
    </row>
    <row r="39" spans="2:4" ht="17.25" x14ac:dyDescent="0.3">
      <c r="D39" s="141"/>
    </row>
    <row r="40" spans="2:4" ht="17.25" x14ac:dyDescent="0.3">
      <c r="D40" s="141" t="s">
        <v>340</v>
      </c>
    </row>
    <row r="41" spans="2:4" ht="17.25" x14ac:dyDescent="0.3">
      <c r="D41" s="141" t="s">
        <v>341</v>
      </c>
    </row>
    <row r="42" spans="2:4" ht="17.25" x14ac:dyDescent="0.3">
      <c r="D42" s="141" t="s">
        <v>342</v>
      </c>
    </row>
    <row r="43" spans="2:4" ht="17.25" x14ac:dyDescent="0.3">
      <c r="D43" s="141"/>
    </row>
    <row r="44" spans="2:4" ht="17.25" x14ac:dyDescent="0.3">
      <c r="B44" s="142" t="s">
        <v>305</v>
      </c>
      <c r="C44" s="142" t="s">
        <v>181</v>
      </c>
      <c r="D44" s="141" t="s">
        <v>313</v>
      </c>
    </row>
    <row r="45" spans="2:4" ht="9.75" customHeight="1" x14ac:dyDescent="0.3">
      <c r="D45" s="141"/>
    </row>
    <row r="46" spans="2:4" s="26" customFormat="1" ht="17.25" x14ac:dyDescent="0.3">
      <c r="D46" s="143" t="s">
        <v>314</v>
      </c>
    </row>
    <row r="47" spans="2:4" ht="17.25" x14ac:dyDescent="0.3">
      <c r="D47" s="141" t="s">
        <v>315</v>
      </c>
    </row>
    <row r="48" spans="2:4" ht="17.25" x14ac:dyDescent="0.3">
      <c r="D48" s="141"/>
    </row>
    <row r="49" spans="2:4" ht="17.25" x14ac:dyDescent="0.3">
      <c r="B49" s="140" t="s">
        <v>285</v>
      </c>
      <c r="C49" s="140" t="s">
        <v>286</v>
      </c>
      <c r="D49" s="141" t="s">
        <v>325</v>
      </c>
    </row>
    <row r="50" spans="2:4" ht="17.25" x14ac:dyDescent="0.3">
      <c r="D50" s="141" t="s">
        <v>324</v>
      </c>
    </row>
    <row r="51" spans="2:4" ht="17.25" x14ac:dyDescent="0.3">
      <c r="D51" s="141"/>
    </row>
    <row r="52" spans="2:4" ht="17.25" x14ac:dyDescent="0.3">
      <c r="D52" s="141" t="s">
        <v>297</v>
      </c>
    </row>
  </sheetData>
  <sheetProtection password="CA8F" sheet="1" objects="1" scenarios="1" selectLockedCell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3" tint="0.39997558519241921"/>
  </sheetPr>
  <dimension ref="B1:S21"/>
  <sheetViews>
    <sheetView showGridLines="0" topLeftCell="A4" zoomScale="90" zoomScaleNormal="90" workbookViewId="0">
      <selection activeCell="M14" sqref="M14"/>
    </sheetView>
  </sheetViews>
  <sheetFormatPr defaultRowHeight="15" x14ac:dyDescent="0.25"/>
  <cols>
    <col min="1" max="1" width="3.42578125" style="3" customWidth="1"/>
    <col min="2" max="2" width="4.85546875" style="3" customWidth="1"/>
    <col min="3" max="6" width="9.140625" style="3"/>
    <col min="7" max="7" width="12.85546875" style="3" bestFit="1" customWidth="1"/>
    <col min="8" max="8" width="9.140625" style="3"/>
    <col min="9" max="9" width="3.7109375" style="3" customWidth="1"/>
    <col min="10" max="10" width="13.42578125" style="3" bestFit="1" customWidth="1"/>
    <col min="11" max="16384" width="9.140625" style="3"/>
  </cols>
  <sheetData>
    <row r="1" spans="2:19" ht="21" x14ac:dyDescent="0.35">
      <c r="D1" s="4" t="s">
        <v>252</v>
      </c>
    </row>
    <row r="2" spans="2:19" ht="36.75" customHeight="1" x14ac:dyDescent="0.25">
      <c r="B2" s="388" t="s">
        <v>328</v>
      </c>
      <c r="C2" s="388"/>
      <c r="D2" s="388"/>
      <c r="E2" s="388"/>
      <c r="F2" s="388"/>
      <c r="G2" s="388"/>
      <c r="H2" s="388"/>
      <c r="I2" s="388"/>
      <c r="J2" s="388"/>
      <c r="K2" s="388"/>
      <c r="L2" s="388"/>
      <c r="M2" s="388"/>
      <c r="N2" s="388"/>
      <c r="O2" s="388"/>
      <c r="P2" s="388"/>
    </row>
    <row r="3" spans="2:19" ht="15" customHeight="1" x14ac:dyDescent="0.25">
      <c r="B3" s="388"/>
      <c r="C3" s="388"/>
      <c r="D3" s="388"/>
      <c r="E3" s="388"/>
      <c r="F3" s="388"/>
      <c r="G3" s="388"/>
      <c r="H3" s="388"/>
      <c r="I3" s="388"/>
      <c r="J3" s="388"/>
      <c r="K3" s="388"/>
      <c r="L3" s="388"/>
      <c r="M3" s="388"/>
      <c r="N3" s="388"/>
      <c r="O3" s="388"/>
      <c r="P3" s="388"/>
    </row>
    <row r="4" spans="2:19" ht="9" customHeight="1" x14ac:dyDescent="0.25">
      <c r="B4" s="388"/>
      <c r="C4" s="388"/>
      <c r="D4" s="388"/>
      <c r="E4" s="388"/>
      <c r="F4" s="388"/>
      <c r="G4" s="388"/>
      <c r="H4" s="388"/>
      <c r="I4" s="388"/>
      <c r="J4" s="388"/>
      <c r="K4" s="388"/>
      <c r="L4" s="388"/>
      <c r="M4" s="388"/>
      <c r="N4" s="388"/>
      <c r="O4" s="388"/>
      <c r="P4" s="388"/>
    </row>
    <row r="5" spans="2:19" ht="15.75" customHeight="1" x14ac:dyDescent="0.4">
      <c r="B5" s="134"/>
      <c r="C5" s="134"/>
      <c r="D5" s="5" t="s">
        <v>343</v>
      </c>
      <c r="E5" s="134"/>
      <c r="F5" s="134"/>
      <c r="G5" s="134"/>
      <c r="H5" s="134"/>
      <c r="I5" s="134"/>
      <c r="J5" s="134"/>
      <c r="K5" s="134"/>
      <c r="L5" s="134"/>
      <c r="M5" s="134"/>
      <c r="N5" s="134"/>
      <c r="O5" s="134"/>
      <c r="P5" s="134"/>
    </row>
    <row r="6" spans="2:19" ht="15.75" customHeight="1" thickBot="1" x14ac:dyDescent="0.45">
      <c r="B6" s="134"/>
      <c r="C6" s="134"/>
      <c r="D6" s="5" t="s">
        <v>329</v>
      </c>
      <c r="E6" s="6"/>
      <c r="F6" s="134"/>
      <c r="G6" s="134"/>
      <c r="H6" s="134"/>
      <c r="I6" s="134"/>
      <c r="J6" s="134"/>
      <c r="K6" s="134"/>
      <c r="L6" s="134"/>
      <c r="M6" s="134"/>
      <c r="N6" s="134"/>
      <c r="O6" s="134"/>
      <c r="P6" s="134"/>
    </row>
    <row r="7" spans="2:19" ht="9" customHeight="1" thickTop="1" x14ac:dyDescent="0.25">
      <c r="C7" s="7"/>
      <c r="D7" s="8"/>
      <c r="E7" s="8"/>
      <c r="F7" s="8"/>
      <c r="G7" s="8"/>
      <c r="H7" s="8"/>
      <c r="I7" s="8"/>
      <c r="J7" s="8"/>
      <c r="K7" s="8"/>
      <c r="L7" s="8"/>
      <c r="M7" s="8"/>
      <c r="N7" s="8"/>
      <c r="O7" s="9"/>
    </row>
    <row r="8" spans="2:19" ht="18.75" x14ac:dyDescent="0.3">
      <c r="C8" s="10" t="s">
        <v>127</v>
      </c>
      <c r="D8" s="11"/>
      <c r="E8" s="11"/>
      <c r="F8" s="11"/>
      <c r="G8" s="11"/>
      <c r="H8" s="12" t="s">
        <v>118</v>
      </c>
      <c r="I8" s="11"/>
      <c r="J8" s="11"/>
      <c r="K8" s="11"/>
      <c r="L8" s="11"/>
      <c r="M8" s="11"/>
      <c r="N8" s="11"/>
      <c r="O8" s="13"/>
    </row>
    <row r="9" spans="2:19" x14ac:dyDescent="0.25">
      <c r="C9" s="14"/>
      <c r="D9" s="15"/>
      <c r="E9" s="16"/>
      <c r="F9" s="16"/>
      <c r="G9" s="16"/>
      <c r="H9" s="16"/>
      <c r="I9" s="16"/>
      <c r="J9" s="16"/>
      <c r="K9" s="16"/>
      <c r="L9" s="16"/>
      <c r="M9" s="16"/>
      <c r="N9" s="16"/>
      <c r="O9" s="17"/>
    </row>
    <row r="10" spans="2:19" ht="18.75" x14ac:dyDescent="0.3">
      <c r="C10" s="18"/>
      <c r="D10" s="11"/>
      <c r="E10" s="11"/>
      <c r="F10" s="11"/>
      <c r="G10" s="11"/>
      <c r="H10" s="12" t="s">
        <v>330</v>
      </c>
      <c r="I10" s="11"/>
      <c r="J10" s="11"/>
      <c r="K10" s="11"/>
      <c r="L10" s="11"/>
      <c r="M10" s="11"/>
      <c r="N10" s="11"/>
      <c r="O10" s="13"/>
    </row>
    <row r="11" spans="2:19" x14ac:dyDescent="0.25">
      <c r="C11" s="14"/>
      <c r="D11" s="16"/>
      <c r="E11" s="16"/>
      <c r="F11" s="16"/>
      <c r="G11" s="16"/>
      <c r="H11" s="16"/>
      <c r="I11" s="16"/>
      <c r="J11" s="16"/>
      <c r="K11" s="16"/>
      <c r="L11" s="16"/>
      <c r="M11" s="16"/>
      <c r="N11" s="16"/>
      <c r="O11" s="17"/>
    </row>
    <row r="12" spans="2:19" ht="18.75" x14ac:dyDescent="0.3">
      <c r="C12" s="18"/>
      <c r="D12" s="11"/>
      <c r="E12" s="11"/>
      <c r="F12" s="11"/>
      <c r="G12" s="11"/>
      <c r="H12" s="12" t="s">
        <v>268</v>
      </c>
      <c r="I12" s="11"/>
      <c r="J12" s="11"/>
      <c r="K12" s="11"/>
      <c r="L12" s="11"/>
      <c r="M12" s="11"/>
      <c r="N12" s="11"/>
      <c r="O12" s="13"/>
    </row>
    <row r="13" spans="2:19" s="19" customFormat="1" ht="19.5" thickBot="1" x14ac:dyDescent="0.35">
      <c r="C13" s="20"/>
      <c r="H13" s="21"/>
      <c r="O13" s="22"/>
    </row>
    <row r="14" spans="2:19" ht="20.25" thickTop="1" thickBot="1" x14ac:dyDescent="0.35">
      <c r="C14" s="41"/>
      <c r="D14" s="24"/>
      <c r="E14" s="24"/>
      <c r="F14" s="24"/>
      <c r="G14" s="24"/>
      <c r="H14" s="42"/>
      <c r="I14" s="24"/>
      <c r="J14" s="24"/>
      <c r="K14" s="25"/>
      <c r="L14" s="44" t="s">
        <v>269</v>
      </c>
      <c r="M14" s="1">
        <v>2</v>
      </c>
      <c r="N14" s="24"/>
      <c r="O14" s="45"/>
    </row>
    <row r="15" spans="2:19" ht="20.25" thickTop="1" thickBot="1" x14ac:dyDescent="0.35">
      <c r="C15" s="41"/>
      <c r="D15" s="24"/>
      <c r="E15" s="24"/>
      <c r="F15" s="24"/>
      <c r="G15" s="24"/>
      <c r="H15" s="43" t="s">
        <v>270</v>
      </c>
      <c r="I15" s="24"/>
      <c r="J15" s="2">
        <v>0.39100000000000001</v>
      </c>
      <c r="K15" s="25"/>
      <c r="L15" s="42"/>
      <c r="M15" s="24"/>
      <c r="N15" s="24"/>
      <c r="O15" s="45"/>
    </row>
    <row r="16" spans="2:19" ht="16.5" thickTop="1" thickBot="1" x14ac:dyDescent="0.3">
      <c r="C16" s="23"/>
      <c r="D16" s="24"/>
      <c r="E16" s="24"/>
      <c r="F16" s="24"/>
      <c r="G16" s="24"/>
      <c r="H16" s="25"/>
      <c r="I16" s="24"/>
      <c r="J16" s="24"/>
      <c r="K16" s="24"/>
      <c r="L16" s="24"/>
      <c r="M16" s="24"/>
      <c r="N16" s="24"/>
      <c r="O16" s="13"/>
      <c r="R16" s="26"/>
      <c r="S16" s="26"/>
    </row>
    <row r="17" spans="3:19" ht="27.75" thickTop="1" thickBot="1" x14ac:dyDescent="0.45">
      <c r="C17" s="27"/>
      <c r="D17" s="28"/>
      <c r="E17" s="29"/>
      <c r="F17" s="29"/>
      <c r="G17" s="29"/>
      <c r="H17" s="30" t="s">
        <v>234</v>
      </c>
      <c r="I17" s="29"/>
      <c r="J17" s="31">
        <f>'Base Rate Calculation'!I18</f>
        <v>8.8028313837335698E-3</v>
      </c>
      <c r="K17" s="32" t="str">
        <f>"  of Total Wages for "&amp;'Base Rate Calculation'!I7</f>
        <v xml:space="preserve">  of Total Wages for 2016</v>
      </c>
      <c r="L17" s="29"/>
      <c r="M17" s="29"/>
      <c r="N17" s="29"/>
      <c r="O17" s="33"/>
      <c r="R17" s="26"/>
      <c r="S17" s="26"/>
    </row>
    <row r="18" spans="3:19" ht="27.75" thickTop="1" thickBot="1" x14ac:dyDescent="0.4">
      <c r="C18" s="34"/>
      <c r="D18" s="35"/>
      <c r="E18" s="35"/>
      <c r="F18" s="35"/>
      <c r="G18" s="35"/>
      <c r="H18" s="35"/>
      <c r="I18" s="35"/>
      <c r="J18" s="31">
        <f>'Base Rate Calculation'!I21</f>
        <v>2.2499999999999999E-2</v>
      </c>
      <c r="K18" s="36" t="str">
        <f>"  of Taxable Wages for "&amp;'Base Rate Calculation'!I7</f>
        <v xml:space="preserve">  of Taxable Wages for 2016</v>
      </c>
      <c r="L18" s="35"/>
      <c r="M18" s="35"/>
      <c r="N18" s="35"/>
      <c r="O18" s="37"/>
      <c r="R18" s="26"/>
      <c r="S18" s="26"/>
    </row>
    <row r="19" spans="3:19" ht="9.75" customHeight="1" thickBot="1" x14ac:dyDescent="0.3">
      <c r="C19" s="38"/>
      <c r="D19" s="39"/>
      <c r="E19" s="39"/>
      <c r="F19" s="39"/>
      <c r="G19" s="39"/>
      <c r="H19" s="39"/>
      <c r="I19" s="39"/>
      <c r="J19" s="39"/>
      <c r="K19" s="39"/>
      <c r="L19" s="39"/>
      <c r="M19" s="39"/>
      <c r="N19" s="39"/>
      <c r="O19" s="40"/>
    </row>
    <row r="20" spans="3:19" ht="15.75" thickTop="1" x14ac:dyDescent="0.25"/>
    <row r="21" spans="3:19" ht="9" customHeight="1" x14ac:dyDescent="0.25"/>
  </sheetData>
  <sheetProtection password="CA8F" sheet="1" objects="1" scenarios="1" selectLockedCells="1"/>
  <protectedRanges>
    <protectedRange sqref="M14" name="Range1"/>
    <protectedRange sqref="J15" name="Range2"/>
  </protectedRanges>
  <mergeCells count="1">
    <mergeCell ref="B2:P4"/>
  </mergeCells>
  <pageMargins left="0.7" right="0.7" top="0.75" bottom="0.75" header="0.3" footer="0.3"/>
  <pageSetup scale="52" orientation="portrait" r:id="rId1"/>
  <colBreaks count="1" manualBreakCount="1">
    <brk id="20" max="31" man="1"/>
  </colBreaks>
  <drawing r:id="rId2"/>
  <legacyDrawing r:id="rId3"/>
  <mc:AlternateContent xmlns:mc="http://schemas.openxmlformats.org/markup-compatibility/2006">
    <mc:Choice Requires="x14">
      <controls>
        <mc:AlternateContent xmlns:mc="http://schemas.openxmlformats.org/markup-compatibility/2006">
          <mc:Choice Requires="x14">
            <control shapeId="1030" r:id="rId4" name="Drop Down 6">
              <controlPr defaultSize="0" autoLine="0" autoPict="0">
                <anchor>
                  <from>
                    <xdr:col>9</xdr:col>
                    <xdr:colOff>47625</xdr:colOff>
                    <xdr:row>6</xdr:row>
                    <xdr:rowOff>95250</xdr:rowOff>
                  </from>
                  <to>
                    <xdr:col>11</xdr:col>
                    <xdr:colOff>28575</xdr:colOff>
                    <xdr:row>7</xdr:row>
                    <xdr:rowOff>228600</xdr:rowOff>
                  </to>
                </anchor>
              </controlPr>
            </control>
          </mc:Choice>
        </mc:AlternateContent>
        <mc:AlternateContent xmlns:mc="http://schemas.openxmlformats.org/markup-compatibility/2006">
          <mc:Choice Requires="x14">
            <control shapeId="1031" r:id="rId5" name="Drop Down 7">
              <controlPr defaultSize="0" autoLine="0" autoPict="0">
                <anchor>
                  <from>
                    <xdr:col>9</xdr:col>
                    <xdr:colOff>66675</xdr:colOff>
                    <xdr:row>11</xdr:row>
                    <xdr:rowOff>9525</xdr:rowOff>
                  </from>
                  <to>
                    <xdr:col>9</xdr:col>
                    <xdr:colOff>704850</xdr:colOff>
                    <xdr:row>12</xdr:row>
                    <xdr:rowOff>0</xdr:rowOff>
                  </to>
                </anchor>
              </controlPr>
            </control>
          </mc:Choice>
        </mc:AlternateContent>
        <mc:AlternateContent xmlns:mc="http://schemas.openxmlformats.org/markup-compatibility/2006">
          <mc:Choice Requires="x14">
            <control shapeId="1032" r:id="rId6" name="Drop Down 8">
              <controlPr defaultSize="0" autoLine="0" autoPict="0">
                <anchor>
                  <from>
                    <xdr:col>9</xdr:col>
                    <xdr:colOff>57150</xdr:colOff>
                    <xdr:row>9</xdr:row>
                    <xdr:rowOff>0</xdr:rowOff>
                  </from>
                  <to>
                    <xdr:col>10</xdr:col>
                    <xdr:colOff>400050</xdr:colOff>
                    <xdr:row>10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EO84"/>
  <sheetViews>
    <sheetView workbookViewId="0">
      <selection activeCell="D25" sqref="D25"/>
    </sheetView>
  </sheetViews>
  <sheetFormatPr defaultRowHeight="15" x14ac:dyDescent="0.25"/>
  <cols>
    <col min="1" max="1" width="9.140625" style="50"/>
    <col min="2" max="2" width="4.5703125" style="50" customWidth="1"/>
    <col min="3" max="3" width="58.28515625" style="50" customWidth="1"/>
    <col min="4" max="13" width="10.28515625" style="50" customWidth="1"/>
    <col min="14" max="15" width="9.85546875" style="50" customWidth="1"/>
    <col min="16" max="16" width="9.7109375" style="50" customWidth="1"/>
    <col min="17" max="17" width="9.140625" style="50"/>
    <col min="18" max="18" width="9" style="50" customWidth="1"/>
    <col min="19" max="16384" width="9.140625" style="50"/>
  </cols>
  <sheetData>
    <row r="1" spans="3:9" ht="21" x14ac:dyDescent="0.35">
      <c r="C1" s="144" t="s">
        <v>253</v>
      </c>
    </row>
    <row r="3" spans="3:9" ht="21" customHeight="1" x14ac:dyDescent="0.25">
      <c r="C3" s="50" t="s">
        <v>125</v>
      </c>
    </row>
    <row r="4" spans="3:9" ht="31.5" customHeight="1" x14ac:dyDescent="0.4">
      <c r="C4" s="135" t="s">
        <v>331</v>
      </c>
    </row>
    <row r="6" spans="3:9" ht="18.75" x14ac:dyDescent="0.3">
      <c r="C6" s="137" t="s">
        <v>129</v>
      </c>
    </row>
    <row r="7" spans="3:9" ht="18.75" x14ac:dyDescent="0.3">
      <c r="C7" s="137" t="s">
        <v>332</v>
      </c>
    </row>
    <row r="8" spans="3:9" ht="18.75" x14ac:dyDescent="0.3">
      <c r="C8" s="137" t="s">
        <v>250</v>
      </c>
    </row>
    <row r="9" spans="3:9" ht="26.25" customHeight="1" x14ac:dyDescent="0.3">
      <c r="C9" s="137"/>
    </row>
    <row r="10" spans="3:9" ht="21" x14ac:dyDescent="0.35">
      <c r="C10" s="145" t="s">
        <v>171</v>
      </c>
      <c r="D10" s="146" t="str">
        <f>'Base Rate Calculation'!I6</f>
        <v>CA</v>
      </c>
    </row>
    <row r="11" spans="3:9" ht="15.75" thickBot="1" x14ac:dyDescent="0.3"/>
    <row r="12" spans="3:9" ht="23.25" customHeight="1" thickTop="1" x14ac:dyDescent="0.35">
      <c r="C12" s="147" t="s">
        <v>127</v>
      </c>
      <c r="D12" s="148" t="s">
        <v>130</v>
      </c>
      <c r="E12" s="149"/>
      <c r="F12" s="149"/>
      <c r="G12" s="149"/>
      <c r="H12" s="150" t="s">
        <v>131</v>
      </c>
    </row>
    <row r="13" spans="3:9" ht="12.75" customHeight="1" x14ac:dyDescent="0.25">
      <c r="C13" s="151"/>
      <c r="D13" s="152" t="s">
        <v>132</v>
      </c>
      <c r="E13" s="153"/>
      <c r="F13" s="152" t="s">
        <v>132</v>
      </c>
      <c r="G13" s="153"/>
      <c r="H13" s="154" t="s">
        <v>132</v>
      </c>
    </row>
    <row r="14" spans="3:9" ht="21" x14ac:dyDescent="0.35">
      <c r="C14" s="155" t="s">
        <v>133</v>
      </c>
      <c r="D14" s="156" t="s">
        <v>134</v>
      </c>
      <c r="E14" s="157"/>
      <c r="F14" s="156" t="s">
        <v>134</v>
      </c>
      <c r="G14" s="157"/>
      <c r="H14" s="158" t="s">
        <v>134</v>
      </c>
    </row>
    <row r="15" spans="3:9" ht="15" customHeight="1" thickBot="1" x14ac:dyDescent="0.4">
      <c r="C15" s="159" t="s">
        <v>125</v>
      </c>
      <c r="D15" s="160"/>
      <c r="E15" s="160"/>
      <c r="F15" s="161"/>
      <c r="G15" s="26"/>
      <c r="H15" s="162"/>
    </row>
    <row r="16" spans="3:9" ht="22.5" thickTop="1" thickBot="1" x14ac:dyDescent="0.4">
      <c r="C16" s="163" t="s">
        <v>227</v>
      </c>
      <c r="D16" s="164"/>
      <c r="E16" s="165"/>
      <c r="F16" s="60">
        <v>2.2499999999999999E-2</v>
      </c>
      <c r="G16" s="166"/>
      <c r="H16" s="167"/>
      <c r="I16" s="168" t="s">
        <v>333</v>
      </c>
    </row>
    <row r="17" spans="3:14" ht="22.5" thickTop="1" thickBot="1" x14ac:dyDescent="0.4">
      <c r="C17" s="169" t="s">
        <v>344</v>
      </c>
      <c r="D17" s="170"/>
      <c r="E17" s="57">
        <v>1.2</v>
      </c>
      <c r="F17" s="171" t="s">
        <v>226</v>
      </c>
      <c r="G17" s="57">
        <v>1</v>
      </c>
      <c r="H17" s="172"/>
      <c r="I17" s="168" t="s">
        <v>228</v>
      </c>
    </row>
    <row r="18" spans="3:14" ht="20.25" thickTop="1" thickBot="1" x14ac:dyDescent="0.35">
      <c r="C18" s="163" t="s">
        <v>183</v>
      </c>
      <c r="D18" s="61">
        <v>1</v>
      </c>
      <c r="E18" s="165"/>
      <c r="F18" s="173" t="str">
        <f>IF(OR(D18&lt;1,D18&gt;4,H18&lt;1,H18&gt;7),"ERROR","")</f>
        <v/>
      </c>
      <c r="G18" s="165"/>
      <c r="H18" s="61">
        <v>7</v>
      </c>
      <c r="I18" s="174" t="s">
        <v>301</v>
      </c>
      <c r="J18" s="49"/>
      <c r="K18" s="49"/>
      <c r="L18" s="49"/>
    </row>
    <row r="19" spans="3:14" ht="20.25" thickTop="1" thickBot="1" x14ac:dyDescent="0.35">
      <c r="C19" s="169" t="s">
        <v>229</v>
      </c>
      <c r="D19" s="57">
        <v>1.5</v>
      </c>
      <c r="E19" s="26"/>
      <c r="F19" s="175"/>
      <c r="G19" s="26"/>
      <c r="H19" s="57">
        <v>0.25</v>
      </c>
      <c r="I19" s="174" t="s">
        <v>302</v>
      </c>
      <c r="J19" s="49"/>
      <c r="K19" s="49"/>
      <c r="L19" s="49"/>
    </row>
    <row r="20" spans="3:14" ht="27.75" customHeight="1" thickTop="1" x14ac:dyDescent="0.3">
      <c r="C20" s="163"/>
      <c r="D20" s="176" t="str">
        <f>IF(D19&gt;2.5,"WARNING: THIS VALUE MAY BE TOO HIGH",IF(D19&lt;=E17,"ERROR: THIS VALUE MUST BE HIGHER THAN THE BASE TRIGGER",""))</f>
        <v/>
      </c>
      <c r="E20" s="177"/>
      <c r="F20" s="178"/>
      <c r="G20" s="178"/>
      <c r="H20" s="179" t="str">
        <f>IF(H19&lt;0,"WARNING: THIS VALUE MAY BE  TOO LOW",IF(H19&gt;1,"WARNING: THIS VALUE MAY BE TOO HIGH",IF((G17-H19)*10&lt;(H18-1),"WARNING: TRIGGER MAY BE TOO CLOSE TO BASE SCHEDULE TRIGGER FOR THE NUMBER OF SCHEDULES CHOSEN","")))</f>
        <v/>
      </c>
      <c r="I20" s="49"/>
      <c r="J20" s="49"/>
      <c r="K20" s="49"/>
    </row>
    <row r="21" spans="3:14" ht="19.5" thickBot="1" x14ac:dyDescent="0.35">
      <c r="C21" s="180" t="s">
        <v>178</v>
      </c>
      <c r="D21" s="181"/>
      <c r="E21" s="175"/>
      <c r="F21" s="181"/>
      <c r="G21" s="181"/>
      <c r="H21" s="182"/>
      <c r="I21" s="49"/>
      <c r="J21" s="49"/>
      <c r="K21" s="49"/>
    </row>
    <row r="22" spans="3:14" ht="20.25" thickTop="1" thickBot="1" x14ac:dyDescent="0.35">
      <c r="C22" s="163" t="s">
        <v>292</v>
      </c>
      <c r="D22" s="177"/>
      <c r="E22" s="177"/>
      <c r="F22" s="61">
        <v>1</v>
      </c>
      <c r="G22" s="183" t="str">
        <f>IF(OR(F22&lt;1,F22&gt;3),"ERROR: INVALID OPTION","")</f>
        <v/>
      </c>
      <c r="H22" s="184" t="str">
        <f>IF(AND(F22=1,H23&lt;=$F$16),"ERROR: MAXIMUM FINANCING RATE MUST BE HIGHER THAN BASE FINANCING RATE","")</f>
        <v/>
      </c>
      <c r="I22" s="49"/>
      <c r="J22" s="49"/>
      <c r="K22" s="49"/>
    </row>
    <row r="23" spans="3:14" ht="20.25" thickTop="1" thickBot="1" x14ac:dyDescent="0.35">
      <c r="C23" s="169" t="s">
        <v>230</v>
      </c>
      <c r="D23" s="58">
        <v>1.4E-2</v>
      </c>
      <c r="E23" s="185"/>
      <c r="F23" s="186"/>
      <c r="G23" s="182"/>
      <c r="H23" s="58">
        <v>3.4000000000000002E-2</v>
      </c>
      <c r="I23" s="174" t="s">
        <v>352</v>
      </c>
      <c r="K23" s="49"/>
      <c r="L23" s="49"/>
      <c r="M23" s="49"/>
    </row>
    <row r="24" spans="3:14" ht="20.25" thickTop="1" thickBot="1" x14ac:dyDescent="0.35">
      <c r="C24" s="163" t="s">
        <v>135</v>
      </c>
      <c r="D24" s="62">
        <v>0.6</v>
      </c>
      <c r="E24" s="187"/>
      <c r="F24" s="178"/>
      <c r="G24" s="188"/>
      <c r="H24" s="62">
        <v>0.51</v>
      </c>
      <c r="I24" s="174" t="s">
        <v>353</v>
      </c>
      <c r="K24" s="49"/>
      <c r="L24" s="49"/>
      <c r="M24" s="49"/>
    </row>
    <row r="25" spans="3:14" ht="20.25" thickTop="1" thickBot="1" x14ac:dyDescent="0.35">
      <c r="C25" s="169" t="s">
        <v>136</v>
      </c>
      <c r="D25" s="59">
        <v>0.4</v>
      </c>
      <c r="E25" s="189"/>
      <c r="F25" s="181"/>
      <c r="G25" s="182"/>
      <c r="H25" s="59">
        <v>0.51</v>
      </c>
      <c r="I25" s="174" t="s">
        <v>354</v>
      </c>
      <c r="K25" s="49"/>
      <c r="L25" s="49"/>
      <c r="M25" s="49"/>
    </row>
    <row r="26" spans="3:14" ht="20.25" thickTop="1" thickBot="1" x14ac:dyDescent="0.35">
      <c r="C26" s="190"/>
      <c r="D26" s="191" t="str">
        <f>IF(AND(F22=1,D23&gt;=$F$16),"ERROR: MINIMUM FINANCING RATE MUST BE LOWER THAN BASE FINANCING RATE","")</f>
        <v/>
      </c>
      <c r="E26" s="192"/>
      <c r="F26" s="193"/>
      <c r="G26" s="193"/>
      <c r="H26" s="194"/>
      <c r="I26" s="49"/>
      <c r="J26" s="49"/>
      <c r="K26" s="49"/>
    </row>
    <row r="27" spans="3:14" ht="20.25" thickTop="1" thickBot="1" x14ac:dyDescent="0.35">
      <c r="C27" s="195"/>
      <c r="D27" s="196"/>
      <c r="E27" s="197"/>
      <c r="F27" s="196"/>
      <c r="G27" s="174"/>
      <c r="I27" s="49"/>
      <c r="J27" s="49"/>
      <c r="K27" s="49"/>
    </row>
    <row r="28" spans="3:14" ht="18.75" hidden="1" x14ac:dyDescent="0.3">
      <c r="C28" s="195"/>
      <c r="D28" s="196"/>
      <c r="E28" s="197"/>
      <c r="F28" s="142"/>
      <c r="G28" s="174"/>
      <c r="I28" s="49"/>
      <c r="J28" s="49"/>
      <c r="K28" s="49"/>
    </row>
    <row r="29" spans="3:14" ht="18.75" hidden="1" x14ac:dyDescent="0.3">
      <c r="C29" s="195"/>
      <c r="D29" s="198"/>
      <c r="E29" s="199"/>
      <c r="F29" s="198"/>
      <c r="G29" s="51"/>
      <c r="I29" s="51"/>
      <c r="J29" s="51"/>
      <c r="K29" s="51"/>
    </row>
    <row r="30" spans="3:14" ht="18.75" hidden="1" x14ac:dyDescent="0.3">
      <c r="C30" s="195"/>
      <c r="D30" s="200" t="str">
        <f>D58</f>
        <v/>
      </c>
      <c r="E30" s="199"/>
      <c r="F30" s="198"/>
      <c r="G30" s="51"/>
      <c r="H30" s="201" t="s">
        <v>132</v>
      </c>
      <c r="I30" s="51"/>
      <c r="J30" s="51"/>
      <c r="K30" s="51"/>
    </row>
    <row r="31" spans="3:14" hidden="1" x14ac:dyDescent="0.25">
      <c r="C31" s="202"/>
      <c r="D31" s="203"/>
      <c r="E31" s="199"/>
      <c r="F31" s="198"/>
      <c r="G31" s="51"/>
      <c r="H31" s="201" t="s">
        <v>134</v>
      </c>
      <c r="I31" s="51"/>
      <c r="J31" s="51"/>
      <c r="K31" s="51"/>
    </row>
    <row r="32" spans="3:14" hidden="1" x14ac:dyDescent="0.25">
      <c r="C32" s="204" t="s">
        <v>138</v>
      </c>
      <c r="D32" s="205">
        <f>IF($D$18=4,$D$19,0)</f>
        <v>0</v>
      </c>
      <c r="E32" s="205">
        <f>IF($D$18=3,$D$19,0)</f>
        <v>0</v>
      </c>
      <c r="F32" s="205">
        <f>IF($D$18=2,$D$19,0)</f>
        <v>0</v>
      </c>
      <c r="G32" s="206">
        <f>E17</f>
        <v>1.2</v>
      </c>
      <c r="H32" s="206">
        <f>G17</f>
        <v>1</v>
      </c>
      <c r="I32" s="205" t="str">
        <f>IF($H$18=2,$H$19,"")</f>
        <v/>
      </c>
      <c r="J32" s="205" t="str">
        <f>IF($H$18=3,$H$19,"")</f>
        <v/>
      </c>
      <c r="K32" s="205" t="str">
        <f>IF($H$18=4,$H$19,"")</f>
        <v/>
      </c>
      <c r="L32" s="205" t="str">
        <f>IF($H$18=5,$H$19,"")</f>
        <v/>
      </c>
      <c r="M32" s="205" t="str">
        <f>IF($H$18=6,$H$19,"")</f>
        <v/>
      </c>
      <c r="N32" s="205">
        <f>IF($H$18=7,$H$19,"")</f>
        <v>0.25</v>
      </c>
    </row>
    <row r="33" spans="3:19" hidden="1" x14ac:dyDescent="0.25">
      <c r="C33" s="204"/>
      <c r="D33" s="207">
        <f>D32</f>
        <v>0</v>
      </c>
      <c r="E33" s="207">
        <f>IF($D32&gt;0,$D32-($D32-$G32)*1/3,IF(E32&gt;0,E32,0))</f>
        <v>0</v>
      </c>
      <c r="F33" s="207">
        <f>IF($D32&gt;0,$D32-($D32-$G32)*2/3,IF(E32&gt;0,E32-(E32-G32)/2,IF(F32&gt;0,F32,0)))</f>
        <v>0</v>
      </c>
      <c r="G33" s="208">
        <f>G32</f>
        <v>1.2</v>
      </c>
      <c r="H33" s="208">
        <f>H32</f>
        <v>1</v>
      </c>
      <c r="I33" s="207">
        <f>IF($N32&lt;&gt;"",$H32-($H32-$N32)*1/6,IF($M32&lt;&gt;"",$H32-($H32-$M32)*1/5,IF($L32&lt;&gt;"",$H32-($H32-$L32)*1/4,IF($K32&lt;&gt;"",$H32-($H32-$K32)*1/3,IF($J32&lt;&gt;"",$H32-($H32-$J32)*1/2,IF(I32&lt;&gt;"",I32,""))))))</f>
        <v>0.875</v>
      </c>
      <c r="J33" s="207">
        <f>IF($N32&lt;&gt;"",$H32-($H32-$N32)*2/6,IF($M32&lt;&gt;"",$H32-($H32-$M32)*2/5,IF($L32&lt;&gt;"",$H32-($H32-$L32)*2/4,IF($K32&lt;&gt;"",$H32-($H32-$K32)*2/3,IF(J32&lt;&gt;"",J32,"")))))</f>
        <v>0.75</v>
      </c>
      <c r="K33" s="207">
        <f>IF($N32&lt;&gt;"",$H32-($H32-$N32)*3/6,IF($M32&lt;&gt;"",$H32-($H32-$M32)*3/5,IF($L32&lt;&gt;"",$H32-($H32-$L32)*3/4,IF(K32&lt;&gt;"",K32,""))))</f>
        <v>0.625</v>
      </c>
      <c r="L33" s="207">
        <f>IF($N32&lt;&gt;"",$H32-($H32-$N32)*4/6,IF(M32&lt;&gt;"",$H32-($H32-$M32)*4/5,IF(L32&lt;&gt;"",L32,"")))</f>
        <v>0.5</v>
      </c>
      <c r="M33" s="207">
        <f>IF($N32&lt;&gt;"",$H32-($H32-$N32)*5/6,IF(M32&lt;&gt;"",M32,""))</f>
        <v>0.375</v>
      </c>
      <c r="N33" s="208">
        <f>IF(N32&lt;&gt;"",N32,"")</f>
        <v>0.25</v>
      </c>
      <c r="O33" s="209"/>
    </row>
    <row r="34" spans="3:19" hidden="1" x14ac:dyDescent="0.25">
      <c r="C34" s="204"/>
      <c r="D34" s="207"/>
      <c r="E34" s="207"/>
      <c r="F34" s="207"/>
      <c r="G34" s="53"/>
      <c r="H34" s="208"/>
      <c r="I34" s="207"/>
      <c r="J34" s="207"/>
      <c r="K34" s="207"/>
      <c r="L34" s="207"/>
      <c r="M34" s="207"/>
      <c r="N34" s="210"/>
      <c r="O34" s="211"/>
      <c r="P34" s="26"/>
    </row>
    <row r="35" spans="3:19" ht="18.75" hidden="1" x14ac:dyDescent="0.3">
      <c r="C35" s="212" t="s">
        <v>139</v>
      </c>
      <c r="D35" s="200">
        <f>IF($D$18=4,$D$23-$F$16,0)</f>
        <v>0</v>
      </c>
      <c r="E35" s="200">
        <f>IF($D$18=3,$D$23-$F$16,0)</f>
        <v>0</v>
      </c>
      <c r="F35" s="200">
        <f>IF($D$18=2,$D$23-$F$16,0)</f>
        <v>0</v>
      </c>
      <c r="G35" s="200">
        <f>IF($D$18=1,$D$23-$F$16,0)</f>
        <v>-8.4999999999999989E-3</v>
      </c>
      <c r="H35" s="201">
        <v>0</v>
      </c>
      <c r="I35" s="200">
        <f>IF($H$18=1,$H$23-$F$16,0)</f>
        <v>0</v>
      </c>
      <c r="J35" s="200">
        <f>IF($H$18=2,$H$23-$F$16,0)</f>
        <v>0</v>
      </c>
      <c r="K35" s="200">
        <f>IF($H$18=3,$H$23-$F$16,0)</f>
        <v>0</v>
      </c>
      <c r="L35" s="200">
        <f>IF($H$18=4,$H$23-$F$16,0)</f>
        <v>0</v>
      </c>
      <c r="M35" s="200">
        <f>IF($H$18=5,$H$23-$F$16,0)</f>
        <v>0</v>
      </c>
      <c r="N35" s="200">
        <f>IF($H$18=6,$H$23-$F$16,0)</f>
        <v>0</v>
      </c>
      <c r="O35" s="200">
        <f>IF($H$18=7,$H$23-$F$16,0)</f>
        <v>1.1500000000000003E-2</v>
      </c>
      <c r="P35" s="26"/>
    </row>
    <row r="36" spans="3:19" hidden="1" x14ac:dyDescent="0.25">
      <c r="C36" s="202" t="s">
        <v>140</v>
      </c>
      <c r="D36" s="213">
        <f>D35</f>
        <v>0</v>
      </c>
      <c r="E36" s="213">
        <f>IF($D35=0,IF($E35=0,0,E35),D35+($H35-$D35)*1/4)</f>
        <v>0</v>
      </c>
      <c r="F36" s="213">
        <f>IF($D35=0,IF($E35=0,IF($F35=0,0,F35),$E35+($H35-$E35)*1/3),$D35+($H35-$D35)*2/4)</f>
        <v>0</v>
      </c>
      <c r="G36" s="213">
        <f>IF($D35=0,IF($E35=0,IF($F35=0,G35,$F35+($H35-$F35)*1/2),$E35+($H35-$E35)*2/3),$D35+($H35-$D35)*3/4)</f>
        <v>-8.4999999999999989E-3</v>
      </c>
      <c r="H36" s="213">
        <f>H35</f>
        <v>0</v>
      </c>
      <c r="I36" s="214">
        <f>IF($O35&gt;0,$H35-($H35-$O35)*1/7,IF($N35&gt;0,$H35-($H35-$N35)*1/6,IF($M35&gt;0,$H35-($H35-$M35)*1/5,IF($L35&gt;0,$H35-($H35-$L35)*1/4,IF($K35&gt;0,$H35-($H35-$K35)*1/3,IF($J35&gt;0,$H35-($H35-$J35)*1/2,IF(I35&gt;0,I35,"")))))))</f>
        <v>1.6428571428571434E-3</v>
      </c>
      <c r="J36" s="214">
        <f>IF($O35&gt;0,$H35-($H35-$O35)*2/7,IF($N35&gt;0,$H35-($H35-$N35)*2/6,IF($M35&gt;0,$H35-($H35-$M35)*2/5,IF($L35&gt;0,$H35-($H35-$L35)*2/4,IF($K35&gt;0,$H35-($H35-$K35)*2/3,IF(J35&gt;0,J35,""))))))</f>
        <v>3.2857142857142868E-3</v>
      </c>
      <c r="K36" s="214">
        <f>IF($O35&gt;0,$H35-($H35-$O35)*3/7,IF($N35&gt;0,$H35-($H35-$N35)*3/6,IF($M35&gt;0,$H35-($H35-$M35)*3/5,IF($L35&gt;0,$H35-($H35-$L35)*3/4,IF(K35&gt;0,K35,"")))))</f>
        <v>4.9285714285714297E-3</v>
      </c>
      <c r="L36" s="214">
        <f>IF($O35&gt;0,$H35-($H35-$O35)*4/7,IF($N35&gt;0,$H35-($H35-$N35)*4/6,IF($M35&gt;0,$H35-($H35-$M35)*4/5,IF(L35&gt;0,L35,""))))</f>
        <v>6.5714285714285735E-3</v>
      </c>
      <c r="M36" s="214">
        <f>IF($O35&gt;0,$H35-($H35-$O35)*5/7,IF(N35&gt;0,$H35-($H35-$N35)*5/6,IF(M35&gt;0,M35,"")))</f>
        <v>8.2142857142857174E-3</v>
      </c>
      <c r="N36" s="214">
        <f>IF($O35&gt;0,$H35-($H35-$O35)*6/7,IF(N35&gt;0,N35,""))</f>
        <v>9.8571428571428595E-3</v>
      </c>
      <c r="O36" s="215">
        <f>IF(O35&gt;0,O35,"")</f>
        <v>1.1500000000000003E-2</v>
      </c>
      <c r="P36" s="26"/>
    </row>
    <row r="37" spans="3:19" hidden="1" x14ac:dyDescent="0.25">
      <c r="C37" s="202"/>
      <c r="D37" s="213"/>
      <c r="E37" s="213"/>
      <c r="F37" s="213"/>
      <c r="G37" s="213"/>
      <c r="H37" s="213"/>
      <c r="I37" s="214"/>
      <c r="J37" s="214"/>
      <c r="K37" s="214"/>
      <c r="L37" s="214"/>
      <c r="M37" s="214"/>
      <c r="N37" s="214"/>
      <c r="O37" s="215"/>
      <c r="P37" s="26"/>
    </row>
    <row r="38" spans="3:19" hidden="1" x14ac:dyDescent="0.25">
      <c r="C38" s="216" t="s">
        <v>231</v>
      </c>
      <c r="D38" s="200" t="str">
        <f>IF($D$18=1,"",IF($D$18=2,"",IF($D$18=3,"",IF($D$18=4,D74,"ERROR"))))</f>
        <v/>
      </c>
      <c r="E38" s="200" t="str">
        <f>IF($D$18=1,"",IF($D$18=2,"",IF($D$18=3,D74,IF($D$18=4,E74,"ERROR"))))</f>
        <v/>
      </c>
      <c r="F38" s="200" t="str">
        <f>IF($D$18=1,"",IF($D$18=2,D74,IF($D$18=3,E74,IF($D$18=4,F74,"ERROR"))))</f>
        <v/>
      </c>
      <c r="G38" s="200">
        <f>IF($D$18=1,D74,IF($D$18=2,E74,IF($D$18=3,F74,IF($D$18=4,G74,"ERROR"))))</f>
        <v>7.6726342710997514E-3</v>
      </c>
      <c r="H38" s="200">
        <v>0</v>
      </c>
      <c r="I38" s="200">
        <f t="shared" ref="I38:O38" si="0">IF($D$18=1,F74,IF($D$18=2,G74,IF($D$18=3,H74,IF($D$18=4,I74,"ERROR"))))</f>
        <v>-6.2659846547314518E-3</v>
      </c>
      <c r="J38" s="200">
        <f t="shared" si="0"/>
        <v>-4.7314578005115057E-3</v>
      </c>
      <c r="K38" s="200">
        <f t="shared" si="0"/>
        <v>-4.7314578005115127E-3</v>
      </c>
      <c r="L38" s="200">
        <f t="shared" si="0"/>
        <v>-4.8593350383631696E-3</v>
      </c>
      <c r="M38" s="200">
        <f t="shared" si="0"/>
        <v>-4.8593350383631696E-3</v>
      </c>
      <c r="N38" s="200">
        <f t="shared" si="0"/>
        <v>-4.7314578005115092E-3</v>
      </c>
      <c r="O38" s="200">
        <f t="shared" si="0"/>
        <v>-4.6035805626598453E-3</v>
      </c>
      <c r="P38" s="26"/>
    </row>
    <row r="39" spans="3:19" hidden="1" x14ac:dyDescent="0.25">
      <c r="C39" s="202" t="s">
        <v>141</v>
      </c>
      <c r="D39" s="214" t="e">
        <f>-D38*$D$24+E39</f>
        <v>#VALUE!</v>
      </c>
      <c r="E39" s="214" t="e">
        <f>-E38*$D$24+F39</f>
        <v>#VALUE!</v>
      </c>
      <c r="F39" s="214" t="e">
        <f>-F38*$D$24+G39</f>
        <v>#VALUE!</v>
      </c>
      <c r="G39" s="214">
        <f>-G38*$D$24+H39</f>
        <v>-4.6035805626598505E-3</v>
      </c>
      <c r="H39" s="200">
        <v>0</v>
      </c>
      <c r="I39" s="214">
        <f t="shared" ref="I39:O39" si="1">-I38*$H$24+H39</f>
        <v>3.1956521739130404E-3</v>
      </c>
      <c r="J39" s="214">
        <f t="shared" si="1"/>
        <v>5.608695652173909E-3</v>
      </c>
      <c r="K39" s="214">
        <f t="shared" si="1"/>
        <v>8.021739130434781E-3</v>
      </c>
      <c r="L39" s="214">
        <f t="shared" si="1"/>
        <v>1.0499999999999997E-2</v>
      </c>
      <c r="M39" s="214">
        <f t="shared" si="1"/>
        <v>1.2978260869565213E-2</v>
      </c>
      <c r="N39" s="214">
        <f t="shared" si="1"/>
        <v>1.5391304347826084E-2</v>
      </c>
      <c r="O39" s="214">
        <f t="shared" si="1"/>
        <v>1.7739130434782605E-2</v>
      </c>
    </row>
    <row r="40" spans="3:19" hidden="1" x14ac:dyDescent="0.25">
      <c r="C40" s="202"/>
      <c r="D40" s="214"/>
      <c r="E40" s="214"/>
      <c r="F40" s="214"/>
      <c r="G40" s="214"/>
      <c r="H40" s="200"/>
      <c r="I40" s="214"/>
      <c r="J40" s="214"/>
      <c r="K40" s="214"/>
      <c r="L40" s="214"/>
      <c r="M40" s="214"/>
      <c r="N40" s="214"/>
      <c r="O40" s="214"/>
    </row>
    <row r="41" spans="3:19" hidden="1" x14ac:dyDescent="0.25">
      <c r="C41" s="216" t="s">
        <v>232</v>
      </c>
      <c r="D41" s="200" t="str">
        <f>IF($D$18=1,"",IF($D$18=2,"",IF($D$18=3,"",IF($D$18=4,D78,"ERROR"))))</f>
        <v/>
      </c>
      <c r="E41" s="200" t="str">
        <f>IF($D$18=1,"",IF($D$18=2,"",IF($D$18=3,D78,IF($D$18=4,E78,"ERROR"))))</f>
        <v/>
      </c>
      <c r="F41" s="200" t="str">
        <f>IF($D$18=1,"",IF($D$18=2,D78,IF($D$18=3,E78,IF($D$18=4,F78,"ERROR"))))</f>
        <v/>
      </c>
      <c r="G41" s="200">
        <f>IF($D$18=1,D78,IF($D$18=2,E78,IF($D$18=3,F78,IF($D$18=4,G78,"ERROR"))))</f>
        <v>-7.6726342710997514E-3</v>
      </c>
      <c r="H41" s="200">
        <v>0</v>
      </c>
      <c r="I41" s="200">
        <f t="shared" ref="I41:O41" si="2">IF($D$18=1,F78,IF($D$18=2,G78,IF($D$18=3,H78,IF($D$18=4,I78,"ERROR"))))</f>
        <v>6.2659846547314518E-3</v>
      </c>
      <c r="J41" s="200">
        <f t="shared" si="2"/>
        <v>1.0997442455242958E-2</v>
      </c>
      <c r="K41" s="200">
        <f t="shared" si="2"/>
        <v>1.572890025575447E-2</v>
      </c>
      <c r="L41" s="200">
        <f t="shared" si="2"/>
        <v>2.058823529411764E-2</v>
      </c>
      <c r="M41" s="200">
        <f t="shared" si="2"/>
        <v>2.5447570332480809E-2</v>
      </c>
      <c r="N41" s="200">
        <f t="shared" si="2"/>
        <v>3.0179028132992319E-2</v>
      </c>
      <c r="O41" s="200">
        <f t="shared" si="2"/>
        <v>3.4782608695652167E-2</v>
      </c>
      <c r="Q41" s="209"/>
    </row>
    <row r="42" spans="3:19" hidden="1" x14ac:dyDescent="0.25">
      <c r="C42" s="202" t="s">
        <v>142</v>
      </c>
      <c r="D42" s="214" t="e">
        <f>D41*$D$25</f>
        <v>#VALUE!</v>
      </c>
      <c r="E42" s="214" t="e">
        <f>E41*$D$25</f>
        <v>#VALUE!</v>
      </c>
      <c r="F42" s="214" t="e">
        <f>F41*$D$25</f>
        <v>#VALUE!</v>
      </c>
      <c r="G42" s="214">
        <f>G41*$D$25</f>
        <v>-3.0690537084399009E-3</v>
      </c>
      <c r="H42" s="200">
        <v>0</v>
      </c>
      <c r="I42" s="214">
        <f t="shared" ref="I42:O42" si="3">I41*$H$25</f>
        <v>3.1956521739130404E-3</v>
      </c>
      <c r="J42" s="214">
        <f t="shared" si="3"/>
        <v>5.6086956521739081E-3</v>
      </c>
      <c r="K42" s="214">
        <f t="shared" si="3"/>
        <v>8.0217391304347792E-3</v>
      </c>
      <c r="L42" s="214">
        <f t="shared" si="3"/>
        <v>1.0499999999999997E-2</v>
      </c>
      <c r="M42" s="214">
        <f t="shared" si="3"/>
        <v>1.2978260869565213E-2</v>
      </c>
      <c r="N42" s="214">
        <f t="shared" si="3"/>
        <v>1.5391304347826082E-2</v>
      </c>
      <c r="O42" s="214">
        <f t="shared" si="3"/>
        <v>1.7739130434782605E-2</v>
      </c>
    </row>
    <row r="43" spans="3:19" hidden="1" x14ac:dyDescent="0.25">
      <c r="C43" s="202"/>
      <c r="D43" s="214"/>
      <c r="E43" s="214"/>
      <c r="F43" s="214"/>
      <c r="G43" s="214"/>
      <c r="H43" s="200"/>
      <c r="I43" s="214"/>
      <c r="J43" s="214"/>
      <c r="K43" s="214"/>
      <c r="L43" s="214"/>
      <c r="M43" s="214"/>
      <c r="N43" s="214"/>
      <c r="O43" s="214"/>
      <c r="Q43" s="209">
        <f>E17-D19</f>
        <v>-0.30000000000000004</v>
      </c>
      <c r="R43" s="209">
        <f>G17-H19</f>
        <v>0.75</v>
      </c>
      <c r="S43" s="50" t="s">
        <v>143</v>
      </c>
    </row>
    <row r="44" spans="3:19" hidden="1" x14ac:dyDescent="0.25">
      <c r="C44" s="202" t="s">
        <v>144</v>
      </c>
      <c r="D44" s="217" t="str">
        <f>IF($D$18&lt;4,"",IF($D$18=4,D45/D41,"ERROR"))</f>
        <v/>
      </c>
      <c r="E44" s="217" t="str">
        <f>IF($D$18&lt;3,"",IF($D$18=3,E45/E41,IF($D$18=4,$G44-($G44-D44)*2/3,"ERROR")))</f>
        <v/>
      </c>
      <c r="F44" s="217" t="str">
        <f>IF($D$18=2,F45/F41,IF($D$18=3,$G44-($G44-E44)*1/2,IF($D$18=4,$G44-($G44-D44)*1/3,"ERROR")))</f>
        <v>ERROR</v>
      </c>
      <c r="G44" s="217">
        <f>IF($D$18=1,50%,IF($D$18=2,50%+(50%-F44),IF($D$18=3,50%+(50%-E44),IF($D$18=4,50%+(50%-D44),"ERROR"))))</f>
        <v>0.5</v>
      </c>
      <c r="H44" s="217"/>
      <c r="I44" s="217">
        <f>IF($H$18&lt;1,"",IF($H$18=1,50%,IF($H$18=2,50%+(50%-J44),IF($H$18=3,50%+(50%-K44),IF($H$18=4,50%+(50%-L44),IF($H$18=5,50%+(50%-M44),IF($H$18=6,50%+(50%-N44),IF($H$18=7,50%+(50%-O44),"""ERROR"))))))))</f>
        <v>0.66911764705882348</v>
      </c>
      <c r="J44" s="217">
        <f>IF($H$18&lt;2,"",IF($H$18=2,J45/J41,IF($H$18=3,$I44-($I44-K44)*1/2,IF($H$18=4,$I44-($I44-L44)*1/3,IF($H$18=5,$I44-($I44-M44)*1/4,IF($H$18=6,$I44-($I44-N44)*1/5,IF($H$18=7,$I44-($I44-O44)*1/6,"ERROR")))))))</f>
        <v>0.61274509803921562</v>
      </c>
      <c r="K44" s="217">
        <f>IF($H$18&lt;3,"",IF($H$18=3,K45/K41,IF($H$18=4,$I44-($I44-L44)*2/3,IF($H$18=5,$I44-($I44-M44)*2/4,IF($H$18=6,$I44-($I44-N44)*2/5,IF($H$18=7,$I44-($I44-O44)*2/6,"ERROR"))))))</f>
        <v>0.55637254901960786</v>
      </c>
      <c r="L44" s="217">
        <f>IF($H$18&lt;4,"",IF($H$18=4,L45/L41,IF($H$18=5,$I44-($I44-M44)*3/4,IF($H$18=6,$I44-($I44-N44)*3/5,IF($H$18=7,$I44-($I44-O44)*3/6,"ERROR")))))</f>
        <v>0.5</v>
      </c>
      <c r="M44" s="217">
        <f>IF($H$18&lt;5,"",IF($H$18=5,M45/M41,IF($H$18=6,$I44-($I44-N44)*4/5,IF($H$18=7,$I44-($I44-O44)*4/6,"ERROR"))))</f>
        <v>0.44362745098039214</v>
      </c>
      <c r="N44" s="217">
        <f>IF($H$18&lt;6,"",IF($H$18=6,N45/N41,IF($H$18=7,$I44-($I44-O44)*5/6,"ERROR")))</f>
        <v>0.38725490196078433</v>
      </c>
      <c r="O44" s="217">
        <f>IF($H$18&lt;7,"",IF($H$18=7,O45/O41,IF($H$18&gt;7,"ERROR,""ERROR")))</f>
        <v>0.33088235294117652</v>
      </c>
      <c r="Q44" s="218">
        <f>(-0.57%+(Q43+1)*0.47%)/'Base Rate Calculation'!I25</f>
        <v>-6.1636828644501271E-3</v>
      </c>
      <c r="R44" s="218">
        <f>(0.57%+(R43-1)*0.48%)/'Base Rate Calculation'!I25</f>
        <v>1.1508951406649615E-2</v>
      </c>
      <c r="S44" s="26" t="s">
        <v>145</v>
      </c>
    </row>
    <row r="45" spans="3:19" hidden="1" x14ac:dyDescent="0.25">
      <c r="C45" s="219" t="s">
        <v>233</v>
      </c>
      <c r="D45" s="214" t="e">
        <f>IF($D$18=4,$Q$45,D41*D44)</f>
        <v>#VALUE!</v>
      </c>
      <c r="E45" s="214" t="e">
        <f>IF($D$18=3,$Q$45,E41*E44)</f>
        <v>#VALUE!</v>
      </c>
      <c r="F45" s="214" t="e">
        <f>IF($D$18=2,$Q$45,F41*F44)</f>
        <v>#VALUE!</v>
      </c>
      <c r="G45" s="214">
        <f>G41*G44</f>
        <v>-3.8363171355498757E-3</v>
      </c>
      <c r="H45" s="200">
        <v>0</v>
      </c>
      <c r="I45" s="214">
        <f>I41*I44</f>
        <v>4.1926809086806037E-3</v>
      </c>
      <c r="J45" s="214">
        <f>IF($H$18=2,$R$45,J41*J44)</f>
        <v>6.7386289554184778E-3</v>
      </c>
      <c r="K45" s="214">
        <f>IF($H$18=3,$R$45,K41*K44)</f>
        <v>8.7511283285692763E-3</v>
      </c>
      <c r="L45" s="214">
        <f>IF($H$18=4,$R$45,L41*L44)</f>
        <v>1.029411764705882E-2</v>
      </c>
      <c r="M45" s="214">
        <f>IF($H$18=5,$R$45,M41*M44)</f>
        <v>1.1289240760242712E-2</v>
      </c>
      <c r="N45" s="214">
        <f>IF($H$18=6,$R$45,N41*N44)</f>
        <v>1.1686976580913692E-2</v>
      </c>
      <c r="O45" s="214">
        <f>IF($H$18=7,$R$45,"")</f>
        <v>1.1508951406649615E-2</v>
      </c>
      <c r="Q45" s="220">
        <f>Q44</f>
        <v>-6.1636828644501271E-3</v>
      </c>
      <c r="R45" s="220">
        <f>R44</f>
        <v>1.1508951406649615E-2</v>
      </c>
      <c r="S45" s="26" t="s">
        <v>146</v>
      </c>
    </row>
    <row r="46" spans="3:19" hidden="1" x14ac:dyDescent="0.25">
      <c r="C46" s="202" t="s">
        <v>147</v>
      </c>
      <c r="D46" s="221" t="e">
        <f>D45-E45</f>
        <v>#VALUE!</v>
      </c>
      <c r="E46" s="221" t="e">
        <f>E45-F45</f>
        <v>#VALUE!</v>
      </c>
      <c r="F46" s="221" t="e">
        <f>F45-G45</f>
        <v>#VALUE!</v>
      </c>
      <c r="G46" s="221">
        <f>G45-H45</f>
        <v>-3.8363171355498757E-3</v>
      </c>
      <c r="H46" s="51"/>
      <c r="I46" s="221">
        <f t="shared" ref="I46:O46" si="4">I45-H45</f>
        <v>4.1926809086806037E-3</v>
      </c>
      <c r="J46" s="221">
        <f t="shared" si="4"/>
        <v>2.5459480467378741E-3</v>
      </c>
      <c r="K46" s="221">
        <f t="shared" si="4"/>
        <v>2.0124993731507985E-3</v>
      </c>
      <c r="L46" s="221">
        <f t="shared" si="4"/>
        <v>1.5429893184895436E-3</v>
      </c>
      <c r="M46" s="221">
        <f t="shared" si="4"/>
        <v>9.9512311318389161E-4</v>
      </c>
      <c r="N46" s="221">
        <f t="shared" si="4"/>
        <v>3.9773582067098058E-4</v>
      </c>
      <c r="O46" s="221">
        <f t="shared" si="4"/>
        <v>-1.7802517426407719E-4</v>
      </c>
      <c r="Q46" s="26"/>
      <c r="R46" s="129"/>
      <c r="S46" s="26"/>
    </row>
    <row r="47" spans="3:19" hidden="1" x14ac:dyDescent="0.25">
      <c r="C47" s="202"/>
      <c r="D47" s="221"/>
      <c r="E47" s="221"/>
      <c r="F47" s="221"/>
      <c r="G47" s="221"/>
      <c r="H47" s="51"/>
      <c r="I47" s="221"/>
      <c r="J47" s="221"/>
      <c r="K47" s="221"/>
      <c r="L47" s="221"/>
      <c r="M47" s="221"/>
      <c r="N47" s="221"/>
      <c r="O47" s="221"/>
      <c r="Q47" s="26"/>
      <c r="R47" s="26"/>
      <c r="S47" s="26"/>
    </row>
    <row r="48" spans="3:19" ht="18.75" hidden="1" x14ac:dyDescent="0.3">
      <c r="C48" s="212" t="s">
        <v>148</v>
      </c>
      <c r="D48" s="222">
        <f>IF($F$22=1,ROUND(D36,4),IF($F$22=2,ROUND(D39,4),IF($F$22=3,ROUND(D42,4),"ERROR")))</f>
        <v>0</v>
      </c>
      <c r="E48" s="222">
        <f>IF($F$22=1,ROUND(E36,4),IF($F$22=2,ROUND(E39,4),IF($F$22=3,ROUND(E42,4),"ERROR")))</f>
        <v>0</v>
      </c>
      <c r="F48" s="222">
        <f>IF($F$22=1,ROUND(F36,4),IF($F$22=2,ROUND(F39,4),IF($F$22=3,ROUND(F42,4),"ERROR")))</f>
        <v>0</v>
      </c>
      <c r="G48" s="222">
        <f>IF($F$22=1,ROUND(G36,4),IF($F$22=2,ROUND(G39,4),IF($F$22=3,ROUND(G42,4),"ERROR")))</f>
        <v>-8.5000000000000006E-3</v>
      </c>
      <c r="H48" s="222">
        <v>0</v>
      </c>
      <c r="I48" s="222">
        <f t="shared" ref="I48:O48" si="5">IF($F$22=1,ROUND(I36,4),IF($F$22=2,ROUND(I39,4),IF($F$22=3,ROUND(I42,4),"ERROR")))</f>
        <v>1.6000000000000001E-3</v>
      </c>
      <c r="J48" s="222">
        <f t="shared" si="5"/>
        <v>3.3E-3</v>
      </c>
      <c r="K48" s="222">
        <f t="shared" si="5"/>
        <v>4.8999999999999998E-3</v>
      </c>
      <c r="L48" s="222">
        <f t="shared" si="5"/>
        <v>6.6E-3</v>
      </c>
      <c r="M48" s="222">
        <f t="shared" si="5"/>
        <v>8.2000000000000007E-3</v>
      </c>
      <c r="N48" s="222">
        <f t="shared" si="5"/>
        <v>9.9000000000000008E-3</v>
      </c>
      <c r="O48" s="222">
        <f t="shared" si="5"/>
        <v>1.15E-2</v>
      </c>
    </row>
    <row r="49" spans="1:145" hidden="1" x14ac:dyDescent="0.25">
      <c r="C49" s="202" t="s">
        <v>147</v>
      </c>
      <c r="D49" s="221">
        <f>D48-E48</f>
        <v>0</v>
      </c>
      <c r="E49" s="221">
        <f>E48-F48</f>
        <v>0</v>
      </c>
      <c r="F49" s="221">
        <f>F48-G48</f>
        <v>8.5000000000000006E-3</v>
      </c>
      <c r="G49" s="221">
        <f>G48-H48</f>
        <v>-8.5000000000000006E-3</v>
      </c>
      <c r="H49" s="51"/>
      <c r="I49" s="221">
        <f t="shared" ref="I49:O49" si="6">I48-H48</f>
        <v>1.6000000000000001E-3</v>
      </c>
      <c r="J49" s="221">
        <f t="shared" si="6"/>
        <v>1.6999999999999999E-3</v>
      </c>
      <c r="K49" s="221">
        <f t="shared" si="6"/>
        <v>1.5999999999999999E-3</v>
      </c>
      <c r="L49" s="221">
        <f t="shared" si="6"/>
        <v>1.7000000000000001E-3</v>
      </c>
      <c r="M49" s="221">
        <f t="shared" si="6"/>
        <v>1.6000000000000007E-3</v>
      </c>
      <c r="N49" s="221">
        <f t="shared" si="6"/>
        <v>1.7000000000000001E-3</v>
      </c>
      <c r="O49" s="221">
        <f t="shared" si="6"/>
        <v>1.599999999999999E-3</v>
      </c>
    </row>
    <row r="50" spans="1:145" hidden="1" x14ac:dyDescent="0.25">
      <c r="C50" s="202"/>
      <c r="D50" s="221"/>
      <c r="E50" s="221"/>
      <c r="F50" s="221"/>
      <c r="G50" s="221"/>
      <c r="H50" s="51"/>
      <c r="I50" s="221"/>
      <c r="J50" s="221"/>
      <c r="K50" s="221"/>
      <c r="L50" s="221"/>
      <c r="M50" s="221"/>
      <c r="N50" s="221"/>
      <c r="O50" s="221"/>
    </row>
    <row r="51" spans="1:145" ht="15.75" hidden="1" thickBot="1" x14ac:dyDescent="0.3">
      <c r="C51" s="202"/>
      <c r="D51" s="221"/>
      <c r="E51" s="221"/>
      <c r="F51" s="221"/>
      <c r="G51" s="221"/>
      <c r="H51" s="51"/>
      <c r="I51" s="221"/>
      <c r="J51" s="221"/>
      <c r="K51" s="221"/>
      <c r="L51" s="221"/>
      <c r="M51" s="221"/>
      <c r="N51" s="221"/>
      <c r="O51" s="221"/>
    </row>
    <row r="52" spans="1:145" ht="24" thickTop="1" x14ac:dyDescent="0.35">
      <c r="C52" s="223" t="s">
        <v>149</v>
      </c>
      <c r="D52" s="224"/>
      <c r="E52" s="224"/>
      <c r="F52" s="224"/>
      <c r="G52" s="224"/>
      <c r="H52" s="225"/>
      <c r="I52" s="224"/>
      <c r="J52" s="224"/>
      <c r="K52" s="224"/>
      <c r="L52" s="224"/>
      <c r="M52" s="224"/>
      <c r="N52" s="224"/>
      <c r="O52" s="224"/>
      <c r="P52" s="226"/>
    </row>
    <row r="53" spans="1:145" ht="18.75" x14ac:dyDescent="0.3">
      <c r="C53" s="227" t="s">
        <v>125</v>
      </c>
      <c r="D53" s="228" t="s">
        <v>175</v>
      </c>
      <c r="E53" s="229"/>
      <c r="F53" s="230"/>
      <c r="G53" s="231" t="str">
        <f>'Base Rate Calculation'!I6</f>
        <v>CA</v>
      </c>
      <c r="H53" s="228" t="s">
        <v>234</v>
      </c>
      <c r="I53" s="229"/>
      <c r="J53" s="229"/>
      <c r="K53" s="232">
        <f>+F16</f>
        <v>2.2499999999999999E-2</v>
      </c>
      <c r="L53" s="229" t="s">
        <v>318</v>
      </c>
      <c r="M53" s="229"/>
      <c r="N53" s="229"/>
      <c r="O53" s="229"/>
      <c r="P53" s="233"/>
    </row>
    <row r="54" spans="1:145" ht="21" x14ac:dyDescent="0.35">
      <c r="C54" s="227"/>
      <c r="D54" s="228" t="s">
        <v>235</v>
      </c>
      <c r="E54" s="229"/>
      <c r="F54" s="229"/>
      <c r="G54" s="234">
        <f>+D18+H18+1</f>
        <v>9</v>
      </c>
      <c r="H54" s="228" t="s">
        <v>236</v>
      </c>
      <c r="I54" s="229"/>
      <c r="J54" s="229"/>
      <c r="K54" s="232">
        <f>'Base Rate Calculation'!I28</f>
        <v>1.4999999999999999E-2</v>
      </c>
      <c r="L54" s="229" t="s">
        <v>319</v>
      </c>
      <c r="M54" s="229"/>
      <c r="N54" s="229"/>
      <c r="O54" s="229"/>
      <c r="P54" s="233"/>
    </row>
    <row r="55" spans="1:145" ht="18.75" x14ac:dyDescent="0.3">
      <c r="C55" s="227"/>
      <c r="D55" s="229"/>
      <c r="E55" s="229"/>
      <c r="F55" s="229"/>
      <c r="G55" s="229"/>
      <c r="H55" s="235"/>
      <c r="I55" s="229"/>
      <c r="J55" s="229"/>
      <c r="K55" s="229"/>
      <c r="L55" s="229"/>
      <c r="M55" s="229"/>
      <c r="N55" s="229"/>
      <c r="O55" s="229"/>
      <c r="P55" s="233"/>
    </row>
    <row r="56" spans="1:145" ht="16.5" customHeight="1" x14ac:dyDescent="0.3">
      <c r="C56" s="227"/>
      <c r="D56" s="229"/>
      <c r="E56" s="229"/>
      <c r="F56" s="229"/>
      <c r="G56" s="229"/>
      <c r="H56" s="235"/>
      <c r="I56" s="229"/>
      <c r="J56" s="229"/>
      <c r="K56" s="229"/>
      <c r="L56" s="229"/>
      <c r="M56" s="229"/>
      <c r="N56" s="229"/>
      <c r="O56" s="229"/>
      <c r="P56" s="233"/>
    </row>
    <row r="57" spans="1:145" ht="24.75" customHeight="1" x14ac:dyDescent="0.45">
      <c r="C57" s="227"/>
      <c r="D57" s="229"/>
      <c r="E57" s="229"/>
      <c r="F57" s="236" t="s">
        <v>150</v>
      </c>
      <c r="G57" s="229"/>
      <c r="H57" s="229"/>
      <c r="I57" s="229"/>
      <c r="J57" s="229"/>
      <c r="K57" s="229"/>
      <c r="L57" s="229"/>
      <c r="M57" s="229"/>
      <c r="N57" s="229"/>
      <c r="O57" s="229"/>
      <c r="P57" s="233"/>
    </row>
    <row r="58" spans="1:145" ht="21" customHeight="1" x14ac:dyDescent="0.3">
      <c r="C58" s="227"/>
      <c r="D58" s="237" t="str">
        <f>IF($D$18=0,"Base","")</f>
        <v/>
      </c>
      <c r="E58" s="237" t="str">
        <f>IF($D$18=1,"Base","")</f>
        <v>Base</v>
      </c>
      <c r="F58" s="237" t="str">
        <f>IF($D$18=2,"Base","")</f>
        <v/>
      </c>
      <c r="G58" s="237" t="str">
        <f>IF($D$18=3,"Base","")</f>
        <v/>
      </c>
      <c r="H58" s="237" t="str">
        <f>IF($D$18=4,"Base","")</f>
        <v/>
      </c>
      <c r="I58" s="238"/>
      <c r="J58" s="238"/>
      <c r="K58" s="238"/>
      <c r="L58" s="238"/>
      <c r="M58" s="238"/>
      <c r="N58" s="238"/>
      <c r="O58" s="228"/>
      <c r="P58" s="233"/>
    </row>
    <row r="59" spans="1:145" ht="15.75" customHeight="1" x14ac:dyDescent="0.3">
      <c r="C59" s="227"/>
      <c r="D59" s="237" t="str">
        <f>IF($D$18=0,"Schedule","")</f>
        <v/>
      </c>
      <c r="E59" s="237" t="str">
        <f>IF($D$18=1,"Schedule","")</f>
        <v>Schedule</v>
      </c>
      <c r="F59" s="237" t="str">
        <f>IF($D$18=2,"Schedule","")</f>
        <v/>
      </c>
      <c r="G59" s="239" t="str">
        <f>IF($D$18=3,"Schedule","")</f>
        <v/>
      </c>
      <c r="H59" s="237" t="str">
        <f>IF($D$18=4,"Schedule","")</f>
        <v/>
      </c>
      <c r="I59" s="238"/>
      <c r="J59" s="238"/>
      <c r="K59" s="238"/>
      <c r="L59" s="238"/>
      <c r="M59" s="238"/>
      <c r="N59" s="238"/>
      <c r="O59" s="228"/>
      <c r="P59" s="233"/>
    </row>
    <row r="60" spans="1:145" ht="18.75" x14ac:dyDescent="0.3">
      <c r="C60" s="240" t="s">
        <v>179</v>
      </c>
      <c r="D60" s="241" t="s">
        <v>151</v>
      </c>
      <c r="E60" s="241" t="str">
        <f>IF(($D$18+$H$18)&gt;0,CHAR(CODE(D60)+1),"")</f>
        <v>B</v>
      </c>
      <c r="F60" s="241" t="str">
        <f>IF(($D$18+$H$18)&gt;1,CHAR(CODE(E60)+1),"")</f>
        <v>C</v>
      </c>
      <c r="G60" s="241" t="str">
        <f>IF(($D$18+$H$18)&gt;2,CHAR(CODE(F60)+1),"")</f>
        <v>D</v>
      </c>
      <c r="H60" s="241" t="str">
        <f>IF(($D$18+$H$18)&gt;3,CHAR(CODE(G60)+1),"")</f>
        <v>E</v>
      </c>
      <c r="I60" s="241" t="str">
        <f>IF(($D$18+$H$18)&gt;4,CHAR(CODE(H60)+1),"")</f>
        <v>F</v>
      </c>
      <c r="J60" s="241" t="str">
        <f>IF(($D$18+$H$18)&gt;5,CHAR(CODE(I60)+1),"")</f>
        <v>G</v>
      </c>
      <c r="K60" s="241" t="str">
        <f>IF(($D$18+$H$18)&gt;6,CHAR(CODE(J60)+1),"")</f>
        <v>H</v>
      </c>
      <c r="L60" s="241" t="str">
        <f>IF(($D$18+$H$18)&gt;7,CHAR(CODE(K60)+1),"")</f>
        <v>I</v>
      </c>
      <c r="M60" s="241" t="str">
        <f>IF(($D$18+$H$18)&gt;8,CHAR(CODE(L60)+1),"")</f>
        <v/>
      </c>
      <c r="N60" s="241" t="str">
        <f>IF(($D$18+$H$18)&gt;9,CHAR(CODE(M60)+1),"")</f>
        <v/>
      </c>
      <c r="O60" s="241" t="str">
        <f>IF(($D$18+$H$18)&gt;10,CHAR(CODE(N60)+1),"")</f>
        <v/>
      </c>
      <c r="P60" s="233"/>
    </row>
    <row r="61" spans="1:145" ht="18.75" x14ac:dyDescent="0.3">
      <c r="A61" s="26"/>
      <c r="B61" s="26"/>
      <c r="C61" s="242" t="s">
        <v>180</v>
      </c>
      <c r="D61" s="243">
        <f t="shared" ref="D61:K61" si="7">IF($D33&gt;0,D33,IF($E33&gt;0,E33,IF($F33&gt;0,F33,G33)))</f>
        <v>1.2</v>
      </c>
      <c r="E61" s="243">
        <f t="shared" si="7"/>
        <v>1</v>
      </c>
      <c r="F61" s="243">
        <f t="shared" si="7"/>
        <v>0.875</v>
      </c>
      <c r="G61" s="243">
        <f t="shared" si="7"/>
        <v>0.75</v>
      </c>
      <c r="H61" s="243">
        <f t="shared" si="7"/>
        <v>0.625</v>
      </c>
      <c r="I61" s="243">
        <f t="shared" si="7"/>
        <v>0.5</v>
      </c>
      <c r="J61" s="243">
        <f t="shared" si="7"/>
        <v>0.375</v>
      </c>
      <c r="K61" s="243">
        <f t="shared" si="7"/>
        <v>0.25</v>
      </c>
      <c r="L61" s="243" t="str">
        <f>IF($D33&gt;0,L33,IF($E33&gt;0,M33,IF($F33&gt;0,N33,"")))</f>
        <v/>
      </c>
      <c r="M61" s="243" t="str">
        <f>IF($D33&gt;0,M33,IF($E33&gt;0,N33,IF($F33&gt;0,"","")))</f>
        <v/>
      </c>
      <c r="N61" s="243" t="str">
        <f>IF($D33&gt;0,N33,IF($E33&gt;0,"",IF($F33&gt;0,"","")))</f>
        <v/>
      </c>
      <c r="O61" s="243"/>
      <c r="P61" s="233"/>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row>
    <row r="62" spans="1:145" ht="15.75" x14ac:dyDescent="0.25">
      <c r="A62" s="26"/>
      <c r="B62" s="26"/>
      <c r="C62" s="244" t="s">
        <v>152</v>
      </c>
      <c r="D62" s="243"/>
      <c r="E62" s="243">
        <f t="shared" ref="E62:O62" si="8">D61</f>
        <v>1.2</v>
      </c>
      <c r="F62" s="243">
        <f t="shared" si="8"/>
        <v>1</v>
      </c>
      <c r="G62" s="243">
        <f t="shared" si="8"/>
        <v>0.875</v>
      </c>
      <c r="H62" s="243">
        <f t="shared" si="8"/>
        <v>0.75</v>
      </c>
      <c r="I62" s="243">
        <f t="shared" si="8"/>
        <v>0.625</v>
      </c>
      <c r="J62" s="243">
        <f t="shared" si="8"/>
        <v>0.5</v>
      </c>
      <c r="K62" s="243">
        <f t="shared" si="8"/>
        <v>0.375</v>
      </c>
      <c r="L62" s="243">
        <f t="shared" si="8"/>
        <v>0.25</v>
      </c>
      <c r="M62" s="243" t="str">
        <f t="shared" si="8"/>
        <v/>
      </c>
      <c r="N62" s="243" t="str">
        <f t="shared" si="8"/>
        <v/>
      </c>
      <c r="O62" s="243" t="str">
        <f t="shared" si="8"/>
        <v/>
      </c>
      <c r="P62" s="233"/>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row>
    <row r="63" spans="1:145" x14ac:dyDescent="0.25">
      <c r="A63" s="26"/>
      <c r="B63" s="26"/>
      <c r="C63" s="242"/>
      <c r="D63" s="243"/>
      <c r="E63" s="243"/>
      <c r="F63" s="243"/>
      <c r="G63" s="243"/>
      <c r="H63" s="243"/>
      <c r="I63" s="243"/>
      <c r="J63" s="243"/>
      <c r="K63" s="229"/>
      <c r="L63" s="229"/>
      <c r="M63" s="229"/>
      <c r="N63" s="229"/>
      <c r="O63" s="229"/>
      <c r="P63" s="233"/>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row>
    <row r="64" spans="1:145" ht="15.75" x14ac:dyDescent="0.25">
      <c r="A64" s="26"/>
      <c r="B64" s="26"/>
      <c r="C64" s="244" t="s">
        <v>237</v>
      </c>
      <c r="D64" s="235">
        <f>ROUND(D61*$K$54,4)/'Base Rate Calculation'!$I$25</f>
        <v>4.603580562659846E-2</v>
      </c>
      <c r="E64" s="235">
        <f>ROUND(E61*$K$54,4)/'Base Rate Calculation'!$I$25</f>
        <v>3.8363171355498715E-2</v>
      </c>
      <c r="F64" s="235">
        <f>IF(F61="","",ROUND(F61*$K$54,4)/'Base Rate Calculation'!$I$25)</f>
        <v>3.3503836317135549E-2</v>
      </c>
      <c r="G64" s="235">
        <f>IF(G61="","",ROUND(G61*$K$54,4)/'Base Rate Calculation'!$I$25)</f>
        <v>2.89002557544757E-2</v>
      </c>
      <c r="H64" s="235">
        <f>IF(H61="","",ROUND(H61*$K$54,4)/'Base Rate Calculation'!$I$25)</f>
        <v>2.4040920716112531E-2</v>
      </c>
      <c r="I64" s="235">
        <f>IF(I61="","",ROUND(I61*$K$54,4)/'Base Rate Calculation'!$I$25)</f>
        <v>1.9181585677749358E-2</v>
      </c>
      <c r="J64" s="235">
        <f>IF(J61="","",ROUND(J61*$K$54,4)/'Base Rate Calculation'!$I$25)</f>
        <v>1.4322250639386188E-2</v>
      </c>
      <c r="K64" s="235">
        <f>IF(K61="","",ROUND(K61*$K$54,4)/'Base Rate Calculation'!$I$25)</f>
        <v>9.7186700767263427E-3</v>
      </c>
      <c r="L64" s="235" t="str">
        <f>IF(L61="","",ROUND(L61*$K$54,4)/'Base Rate Calculation'!$I$25)</f>
        <v/>
      </c>
      <c r="M64" s="235" t="str">
        <f>IF(M61="","",ROUND(M61*$K$54,4)/'Base Rate Calculation'!$I$25)</f>
        <v/>
      </c>
      <c r="N64" s="235" t="str">
        <f>IF(N61="","",ROUND(N61*$K$54,4)/'Base Rate Calculation'!$I$25)</f>
        <v/>
      </c>
      <c r="O64" s="235" t="str">
        <f>IF(O61="","",ROUND(O61*$K$54,4))</f>
        <v/>
      </c>
      <c r="P64" s="233"/>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row>
    <row r="65" spans="1:145" ht="15.75" x14ac:dyDescent="0.25">
      <c r="A65" s="26"/>
      <c r="B65" s="26"/>
      <c r="C65" s="244" t="s">
        <v>238</v>
      </c>
      <c r="D65" s="235"/>
      <c r="E65" s="245">
        <f t="shared" ref="E65:O65" si="9">D64</f>
        <v>4.603580562659846E-2</v>
      </c>
      <c r="F65" s="245">
        <f t="shared" si="9"/>
        <v>3.8363171355498715E-2</v>
      </c>
      <c r="G65" s="245">
        <f t="shared" si="9"/>
        <v>3.3503836317135549E-2</v>
      </c>
      <c r="H65" s="245">
        <f t="shared" si="9"/>
        <v>2.89002557544757E-2</v>
      </c>
      <c r="I65" s="245">
        <f t="shared" si="9"/>
        <v>2.4040920716112531E-2</v>
      </c>
      <c r="J65" s="245">
        <f t="shared" si="9"/>
        <v>1.9181585677749358E-2</v>
      </c>
      <c r="K65" s="245">
        <f t="shared" si="9"/>
        <v>1.4322250639386188E-2</v>
      </c>
      <c r="L65" s="245">
        <f t="shared" si="9"/>
        <v>9.7186700767263427E-3</v>
      </c>
      <c r="M65" s="245" t="str">
        <f t="shared" si="9"/>
        <v/>
      </c>
      <c r="N65" s="245" t="str">
        <f t="shared" si="9"/>
        <v/>
      </c>
      <c r="O65" s="245" t="str">
        <f t="shared" si="9"/>
        <v/>
      </c>
      <c r="P65" s="233"/>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row>
    <row r="66" spans="1:145" x14ac:dyDescent="0.25">
      <c r="C66" s="242"/>
      <c r="D66" s="229"/>
      <c r="E66" s="229"/>
      <c r="F66" s="229"/>
      <c r="G66" s="229"/>
      <c r="H66" s="229"/>
      <c r="I66" s="229"/>
      <c r="J66" s="229"/>
      <c r="K66" s="229"/>
      <c r="L66" s="229"/>
      <c r="M66" s="229"/>
      <c r="N66" s="229"/>
      <c r="O66" s="229"/>
      <c r="P66" s="233"/>
    </row>
    <row r="67" spans="1:145" x14ac:dyDescent="0.25">
      <c r="C67" s="242" t="s">
        <v>239</v>
      </c>
      <c r="D67" s="235">
        <f>$F$16</f>
        <v>2.2499999999999999E-2</v>
      </c>
      <c r="E67" s="235">
        <f>$F$16</f>
        <v>2.2499999999999999E-2</v>
      </c>
      <c r="F67" s="235">
        <f>$F$16</f>
        <v>2.2499999999999999E-2</v>
      </c>
      <c r="G67" s="235">
        <f t="shared" ref="G67:O67" si="10">IF(G60="","",$F$16)</f>
        <v>2.2499999999999999E-2</v>
      </c>
      <c r="H67" s="235">
        <f t="shared" si="10"/>
        <v>2.2499999999999999E-2</v>
      </c>
      <c r="I67" s="235">
        <f t="shared" si="10"/>
        <v>2.2499999999999999E-2</v>
      </c>
      <c r="J67" s="235">
        <f t="shared" si="10"/>
        <v>2.2499999999999999E-2</v>
      </c>
      <c r="K67" s="235">
        <f t="shared" si="10"/>
        <v>2.2499999999999999E-2</v>
      </c>
      <c r="L67" s="235">
        <f t="shared" si="10"/>
        <v>2.2499999999999999E-2</v>
      </c>
      <c r="M67" s="235" t="str">
        <f t="shared" si="10"/>
        <v/>
      </c>
      <c r="N67" s="235" t="str">
        <f t="shared" si="10"/>
        <v/>
      </c>
      <c r="O67" s="235" t="str">
        <f t="shared" si="10"/>
        <v/>
      </c>
      <c r="P67" s="233"/>
    </row>
    <row r="68" spans="1:145" x14ac:dyDescent="0.25">
      <c r="C68" s="242" t="s">
        <v>240</v>
      </c>
      <c r="D68" s="245">
        <f>IF($D18=4,D48,IF($D18=3,E48,IF($D18=2,F48,IF($D18=1,G48,"ERROR"))))</f>
        <v>-8.5000000000000006E-3</v>
      </c>
      <c r="E68" s="245">
        <f>IF($D18=4,E48,IF($D18=3,F48,IF($D18=2,G48,IF($D18=1,H48,"ERROR"))))</f>
        <v>0</v>
      </c>
      <c r="F68" s="245">
        <f>IF($D18=4,F48,IF($D18=3,G48,IF($D18=2,H48,IF($D18=1,I48,"ERROR"))))</f>
        <v>1.6000000000000001E-3</v>
      </c>
      <c r="G68" s="245">
        <f t="shared" ref="G68:O68" si="11">IF(G60="","",IF($D18=4,G48,IF($D18=3,H48,IF($D18=2,I48,IF($D18=1,J48,"ERROR")))))</f>
        <v>3.3E-3</v>
      </c>
      <c r="H68" s="245">
        <f t="shared" si="11"/>
        <v>4.8999999999999998E-3</v>
      </c>
      <c r="I68" s="245">
        <f t="shared" si="11"/>
        <v>6.6E-3</v>
      </c>
      <c r="J68" s="245">
        <f t="shared" si="11"/>
        <v>8.2000000000000007E-3</v>
      </c>
      <c r="K68" s="245">
        <f t="shared" si="11"/>
        <v>9.9000000000000008E-3</v>
      </c>
      <c r="L68" s="245">
        <f t="shared" si="11"/>
        <v>1.15E-2</v>
      </c>
      <c r="M68" s="245" t="str">
        <f t="shared" si="11"/>
        <v/>
      </c>
      <c r="N68" s="245" t="str">
        <f t="shared" si="11"/>
        <v/>
      </c>
      <c r="O68" s="245" t="str">
        <f t="shared" si="11"/>
        <v/>
      </c>
      <c r="P68" s="233"/>
    </row>
    <row r="69" spans="1:145" ht="24" customHeight="1" x14ac:dyDescent="0.3">
      <c r="C69" s="246" t="s">
        <v>334</v>
      </c>
      <c r="D69" s="232">
        <f>D67+D68</f>
        <v>1.3999999999999999E-2</v>
      </c>
      <c r="E69" s="232">
        <f>E67+E68</f>
        <v>2.2499999999999999E-2</v>
      </c>
      <c r="F69" s="232">
        <f>F67+F68</f>
        <v>2.41E-2</v>
      </c>
      <c r="G69" s="232">
        <f t="shared" ref="G69:O69" si="12">IF(G60="","",G67+G68)</f>
        <v>2.58E-2</v>
      </c>
      <c r="H69" s="232">
        <f t="shared" si="12"/>
        <v>2.7400000000000001E-2</v>
      </c>
      <c r="I69" s="232">
        <f t="shared" si="12"/>
        <v>2.9100000000000001E-2</v>
      </c>
      <c r="J69" s="232">
        <f t="shared" si="12"/>
        <v>3.0699999999999998E-2</v>
      </c>
      <c r="K69" s="232">
        <f t="shared" si="12"/>
        <v>3.2399999999999998E-2</v>
      </c>
      <c r="L69" s="232">
        <f t="shared" si="12"/>
        <v>3.4000000000000002E-2</v>
      </c>
      <c r="M69" s="232" t="str">
        <f t="shared" si="12"/>
        <v/>
      </c>
      <c r="N69" s="232" t="str">
        <f t="shared" si="12"/>
        <v/>
      </c>
      <c r="O69" s="232" t="str">
        <f t="shared" si="12"/>
        <v/>
      </c>
      <c r="P69" s="247"/>
    </row>
    <row r="70" spans="1:145" ht="15.75" x14ac:dyDescent="0.25">
      <c r="C70" s="244" t="s">
        <v>317</v>
      </c>
      <c r="D70" s="248">
        <f>D69*'Base Rate Calculation'!$I$25</f>
        <v>5.4739999999999997E-3</v>
      </c>
      <c r="E70" s="248">
        <f>E69*'Base Rate Calculation'!$I$25</f>
        <v>8.7974999999999998E-3</v>
      </c>
      <c r="F70" s="248">
        <f>F69*'Base Rate Calculation'!$I$25</f>
        <v>9.4231000000000002E-3</v>
      </c>
      <c r="G70" s="248">
        <f>IF(G60="","",G69*'Base Rate Calculation'!$I$25)</f>
        <v>1.0087800000000001E-2</v>
      </c>
      <c r="H70" s="248">
        <f>IF(H60="","",H69*'Base Rate Calculation'!$I$25)</f>
        <v>1.0713400000000001E-2</v>
      </c>
      <c r="I70" s="248">
        <f>IF(I60="","",I69*'Base Rate Calculation'!$I$25)</f>
        <v>1.13781E-2</v>
      </c>
      <c r="J70" s="248">
        <f>IF(J60="","",J69*'Base Rate Calculation'!$I$25)</f>
        <v>1.2003699999999999E-2</v>
      </c>
      <c r="K70" s="248">
        <f>IF(K60="","",K69*'Base Rate Calculation'!$I$25)</f>
        <v>1.26684E-2</v>
      </c>
      <c r="L70" s="248">
        <f>IF(L60="","",L69*'Base Rate Calculation'!$I$25)</f>
        <v>1.3294000000000002E-2</v>
      </c>
      <c r="M70" s="248" t="str">
        <f>IF(M60="","",M69*'Base Rate Calculation'!$I$25)</f>
        <v/>
      </c>
      <c r="N70" s="248" t="str">
        <f>IF(N60="","",N69*'Base Rate Calculation'!$I$25)</f>
        <v/>
      </c>
      <c r="O70" s="248" t="str">
        <f>IF(O60="","",O69*'Base Rate Calculation'!$I$25)</f>
        <v/>
      </c>
      <c r="P70" s="233"/>
    </row>
    <row r="71" spans="1:145" ht="39" customHeight="1" x14ac:dyDescent="0.25">
      <c r="C71" s="249"/>
      <c r="D71" s="250"/>
      <c r="E71" s="250"/>
      <c r="F71" s="250"/>
      <c r="G71" s="250"/>
      <c r="H71" s="250"/>
      <c r="I71" s="250"/>
      <c r="J71" s="250"/>
      <c r="K71" s="250"/>
      <c r="L71" s="250"/>
      <c r="M71" s="250"/>
      <c r="N71" s="250"/>
      <c r="O71" s="250"/>
      <c r="P71" s="233"/>
    </row>
    <row r="72" spans="1:145" ht="18.75" x14ac:dyDescent="0.3">
      <c r="C72" s="240" t="s">
        <v>177</v>
      </c>
      <c r="D72" s="251"/>
      <c r="E72" s="251"/>
      <c r="F72" s="251"/>
      <c r="G72" s="251"/>
      <c r="H72" s="251"/>
      <c r="I72" s="251"/>
      <c r="J72" s="251"/>
      <c r="K72" s="229"/>
      <c r="L72" s="229"/>
      <c r="M72" s="229"/>
      <c r="N72" s="229"/>
      <c r="O72" s="229"/>
      <c r="P72" s="233"/>
    </row>
    <row r="73" spans="1:145" x14ac:dyDescent="0.25">
      <c r="C73" s="242" t="s">
        <v>241</v>
      </c>
      <c r="D73" s="235">
        <f>AVERAGE(D64,E65+(E65-F65))</f>
        <v>4.9872122762148335E-2</v>
      </c>
      <c r="E73" s="235">
        <f>AVERAGE(E64:E65)</f>
        <v>4.2199488491048584E-2</v>
      </c>
      <c r="F73" s="235">
        <f t="shared" ref="F73:O73" si="13">IF(F60="","",IF(G60="",AVERAGE(E64+(E64-D64),F65),AVERAGE(F64,F65)))</f>
        <v>3.5933503836317132E-2</v>
      </c>
      <c r="G73" s="235">
        <f t="shared" si="13"/>
        <v>3.1202046035805626E-2</v>
      </c>
      <c r="H73" s="235">
        <f t="shared" si="13"/>
        <v>2.6470588235294114E-2</v>
      </c>
      <c r="I73" s="235">
        <f t="shared" si="13"/>
        <v>2.1611253196930944E-2</v>
      </c>
      <c r="J73" s="235">
        <f t="shared" si="13"/>
        <v>1.6751918158567775E-2</v>
      </c>
      <c r="K73" s="235">
        <f t="shared" si="13"/>
        <v>1.2020460358056265E-2</v>
      </c>
      <c r="L73" s="235">
        <f t="shared" si="13"/>
        <v>7.4168797953964201E-3</v>
      </c>
      <c r="M73" s="235" t="str">
        <f t="shared" si="13"/>
        <v/>
      </c>
      <c r="N73" s="235" t="str">
        <f t="shared" si="13"/>
        <v/>
      </c>
      <c r="O73" s="235" t="str">
        <f t="shared" si="13"/>
        <v/>
      </c>
      <c r="P73" s="233"/>
    </row>
    <row r="74" spans="1:145" x14ac:dyDescent="0.25">
      <c r="C74" s="242" t="s">
        <v>231</v>
      </c>
      <c r="D74" s="235">
        <f>D73-E73</f>
        <v>7.6726342710997514E-3</v>
      </c>
      <c r="E74" s="235" t="str">
        <f>IF($D$18&gt;1,E73-F73,"")</f>
        <v/>
      </c>
      <c r="F74" s="235">
        <f>IF($D$18&gt;2,F73-G73,IF($D$18=2,"",F73-E73))</f>
        <v>-6.2659846547314518E-3</v>
      </c>
      <c r="G74" s="235">
        <f>IF(G60="","",IF($D$18&gt;3,G73-H73,IF($D$18=3,"",G73-F73)))</f>
        <v>-4.7314578005115057E-3</v>
      </c>
      <c r="H74" s="235">
        <f>IF(H60="","",IF($D$18=4,"",H73-G73))</f>
        <v>-4.7314578005115127E-3</v>
      </c>
      <c r="I74" s="235">
        <f t="shared" ref="I74:O74" si="14">IF(I60="","",I73-H73)</f>
        <v>-4.8593350383631696E-3</v>
      </c>
      <c r="J74" s="235">
        <f t="shared" si="14"/>
        <v>-4.8593350383631696E-3</v>
      </c>
      <c r="K74" s="235">
        <f t="shared" si="14"/>
        <v>-4.7314578005115092E-3</v>
      </c>
      <c r="L74" s="235">
        <f t="shared" si="14"/>
        <v>-4.6035805626598453E-3</v>
      </c>
      <c r="M74" s="235" t="str">
        <f t="shared" si="14"/>
        <v/>
      </c>
      <c r="N74" s="235" t="str">
        <f t="shared" si="14"/>
        <v/>
      </c>
      <c r="O74" s="235" t="str">
        <f t="shared" si="14"/>
        <v/>
      </c>
      <c r="P74" s="233"/>
    </row>
    <row r="75" spans="1:145" x14ac:dyDescent="0.25">
      <c r="C75" s="242" t="s">
        <v>242</v>
      </c>
      <c r="D75" s="235">
        <f>D69-E69</f>
        <v>-8.5000000000000006E-3</v>
      </c>
      <c r="E75" s="235" t="str">
        <f>IF($D$18&gt;1,E69-F69,"")</f>
        <v/>
      </c>
      <c r="F75" s="235">
        <f>IF($D$18&gt;2,F69-G69,IF($D$18=2,"",F69-E69))</f>
        <v>1.6000000000000007E-3</v>
      </c>
      <c r="G75" s="235">
        <f>IF(G$60="","",IF($D$18&gt;3,G69-H69,IF($D$18=3,"",G69-F69)))</f>
        <v>1.7000000000000001E-3</v>
      </c>
      <c r="H75" s="235">
        <f>IF(H$60="","",IF($D$18=4,"",H69-G69))</f>
        <v>1.6000000000000007E-3</v>
      </c>
      <c r="I75" s="235">
        <f t="shared" ref="I75:O75" si="15">IF(I$60="","",I69-H69)</f>
        <v>1.7000000000000001E-3</v>
      </c>
      <c r="J75" s="235">
        <f t="shared" si="15"/>
        <v>1.5999999999999973E-3</v>
      </c>
      <c r="K75" s="235">
        <f t="shared" si="15"/>
        <v>1.7000000000000001E-3</v>
      </c>
      <c r="L75" s="235">
        <f t="shared" si="15"/>
        <v>1.6000000000000042E-3</v>
      </c>
      <c r="M75" s="235" t="str">
        <f t="shared" si="15"/>
        <v/>
      </c>
      <c r="N75" s="235" t="str">
        <f t="shared" si="15"/>
        <v/>
      </c>
      <c r="O75" s="235" t="str">
        <f t="shared" si="15"/>
        <v/>
      </c>
      <c r="P75" s="233"/>
    </row>
    <row r="76" spans="1:145" x14ac:dyDescent="0.25">
      <c r="C76" s="242" t="s">
        <v>153</v>
      </c>
      <c r="D76" s="252">
        <f t="shared" ref="D76:O76" si="16">IF(D75="","",-D75/D74)</f>
        <v>1.1078333333333323</v>
      </c>
      <c r="E76" s="252" t="str">
        <f t="shared" si="16"/>
        <v/>
      </c>
      <c r="F76" s="252">
        <f t="shared" si="16"/>
        <v>0.25534693877551057</v>
      </c>
      <c r="G76" s="252">
        <f t="shared" si="16"/>
        <v>0.35929729729729759</v>
      </c>
      <c r="H76" s="252">
        <f t="shared" si="16"/>
        <v>0.33816216216216205</v>
      </c>
      <c r="I76" s="252">
        <f t="shared" si="16"/>
        <v>0.34984210526315807</v>
      </c>
      <c r="J76" s="252">
        <f t="shared" si="16"/>
        <v>0.32926315789473637</v>
      </c>
      <c r="K76" s="252">
        <f t="shared" si="16"/>
        <v>0.35929729729729731</v>
      </c>
      <c r="L76" s="252">
        <f t="shared" si="16"/>
        <v>0.34755555555555656</v>
      </c>
      <c r="M76" s="252" t="str">
        <f t="shared" si="16"/>
        <v/>
      </c>
      <c r="N76" s="252" t="str">
        <f t="shared" si="16"/>
        <v/>
      </c>
      <c r="O76" s="252" t="str">
        <f t="shared" si="16"/>
        <v/>
      </c>
      <c r="P76" s="233"/>
    </row>
    <row r="77" spans="1:145" x14ac:dyDescent="0.25">
      <c r="C77" s="242"/>
      <c r="D77" s="252"/>
      <c r="E77" s="252"/>
      <c r="F77" s="252"/>
      <c r="G77" s="252"/>
      <c r="H77" s="252"/>
      <c r="I77" s="252"/>
      <c r="J77" s="252"/>
      <c r="K77" s="252"/>
      <c r="L77" s="252"/>
      <c r="M77" s="252"/>
      <c r="N77" s="252"/>
      <c r="O77" s="252"/>
      <c r="P77" s="233"/>
    </row>
    <row r="78" spans="1:145" x14ac:dyDescent="0.25">
      <c r="C78" s="242" t="s">
        <v>232</v>
      </c>
      <c r="D78" s="235">
        <f>IF($D$18=4,$H73-D73,IF($D$18=3,$G73-D73,IF($D$18=2,$F73-D73,IF($D$18=1,$E73-D73,"ERROR"))))</f>
        <v>-7.6726342710997514E-3</v>
      </c>
      <c r="E78" s="235" t="str">
        <f>IF($D$18=4,$H73-E73,IF($D$18=3,$G73-E73,IF($D$18=2,$F73-E73,IF($D$18=1,"","ERROR"))))</f>
        <v/>
      </c>
      <c r="F78" s="235">
        <f>IF($D$18=4,$H73-F73,IF($D$18=3,$G73-F73,IF($D$18=2,"",IF($D$18=1,$E73-F73,"ERROR"))))</f>
        <v>6.2659846547314518E-3</v>
      </c>
      <c r="G78" s="235">
        <f>IF(G$60="","",IF($D$18=4,$H73-G73,IF($D$18=3,"",IF($D$18=2,$F73-G73,IF($D$18=1,$E73-G73,"ERROR")))))</f>
        <v>1.0997442455242958E-2</v>
      </c>
      <c r="H78" s="235">
        <f>IF(H$60="","",IF($D$18=4,"",IF($D$18=3,$G73-H73,IF($D$18=2,$F73-H73,IF($D$18=1,$E73-H73,"ERROR")))))</f>
        <v>1.572890025575447E-2</v>
      </c>
      <c r="I78" s="235">
        <f t="shared" ref="I78:O78" si="17">IF(I$60="","",IF($D$18=4,$H73-I73,IF($D$18=3,$G73-I73,IF($D$18=2,$F73-I73,IF($D$18=1,$E73-I73,"ERROR")))))</f>
        <v>2.058823529411764E-2</v>
      </c>
      <c r="J78" s="235">
        <f t="shared" si="17"/>
        <v>2.5447570332480809E-2</v>
      </c>
      <c r="K78" s="235">
        <f t="shared" si="17"/>
        <v>3.0179028132992319E-2</v>
      </c>
      <c r="L78" s="235">
        <f t="shared" si="17"/>
        <v>3.4782608695652167E-2</v>
      </c>
      <c r="M78" s="235" t="str">
        <f t="shared" si="17"/>
        <v/>
      </c>
      <c r="N78" s="235" t="str">
        <f t="shared" si="17"/>
        <v/>
      </c>
      <c r="O78" s="235" t="str">
        <f t="shared" si="17"/>
        <v/>
      </c>
      <c r="P78" s="233"/>
    </row>
    <row r="79" spans="1:145" x14ac:dyDescent="0.25">
      <c r="C79" s="242" t="s">
        <v>154</v>
      </c>
      <c r="D79" s="252">
        <f t="shared" ref="D79:O79" si="18">IF(D78="","",D68/D78)</f>
        <v>1.1078333333333323</v>
      </c>
      <c r="E79" s="252" t="str">
        <f t="shared" si="18"/>
        <v/>
      </c>
      <c r="F79" s="252">
        <f t="shared" si="18"/>
        <v>0.25534693877551046</v>
      </c>
      <c r="G79" s="252">
        <f t="shared" si="18"/>
        <v>0.3000697674418607</v>
      </c>
      <c r="H79" s="252">
        <f t="shared" si="18"/>
        <v>0.31152845528455292</v>
      </c>
      <c r="I79" s="252">
        <f t="shared" si="18"/>
        <v>0.32057142857142867</v>
      </c>
      <c r="J79" s="252">
        <f t="shared" si="18"/>
        <v>0.32223115577889461</v>
      </c>
      <c r="K79" s="252">
        <f t="shared" si="18"/>
        <v>0.32804237288135607</v>
      </c>
      <c r="L79" s="252">
        <f t="shared" si="18"/>
        <v>0.33062500000000006</v>
      </c>
      <c r="M79" s="252" t="str">
        <f t="shared" si="18"/>
        <v/>
      </c>
      <c r="N79" s="252" t="str">
        <f t="shared" si="18"/>
        <v/>
      </c>
      <c r="O79" s="252" t="str">
        <f t="shared" si="18"/>
        <v/>
      </c>
      <c r="P79" s="233"/>
    </row>
    <row r="80" spans="1:145" x14ac:dyDescent="0.25">
      <c r="C80" s="242"/>
      <c r="D80" s="253"/>
      <c r="E80" s="253"/>
      <c r="F80" s="253"/>
      <c r="G80" s="253"/>
      <c r="H80" s="253"/>
      <c r="I80" s="253"/>
      <c r="J80" s="253"/>
      <c r="K80" s="229"/>
      <c r="L80" s="229"/>
      <c r="M80" s="229"/>
      <c r="N80" s="229"/>
      <c r="O80" s="229"/>
      <c r="P80" s="233"/>
    </row>
    <row r="81" spans="3:16" x14ac:dyDescent="0.25">
      <c r="C81" s="242" t="s">
        <v>243</v>
      </c>
      <c r="D81" s="252">
        <f>IF(AND(F61="",E61&lt;&gt;""),F69/$F$16,IF(AND(G61="",F61&lt;&gt;""),G69/F16,IF(AND(H61="",G61&lt;&gt;""),H69/$F$16,IF(AND(I61="",H61&lt;&gt;""),I69/$F$16,IF(AND(J61="",I61&lt;&gt;""),J69/$F$16,IF(AND(K61="",J61&lt;&gt;""),K69/$F$16,IF(AND(L61="",K61&lt;&gt;""),L69/$F$16,IF(AND(M61="",L61&lt;&gt;""),M69/$F$16,IF(AND(N61="",M61&lt;&gt;""),N69/$F$16,IF(AND(O61="",N61&lt;&gt;""),O69/$F$16,"ERROR"))))))))))</f>
        <v>1.5111111111111113</v>
      </c>
      <c r="E81" s="254" t="str">
        <f>IF(D81&gt;160%,"WARNING: This value may be too high.  Choose a lower maximum financing rate, a lower responsiveness rate, a lower gap-closing rate, a higher trigger value for the maximum financing rate, or a higher number of schedules.",IF(D81&lt;120%,"WARNING: This value may be too low.  Choose a higher maximum financing rate, a higher responsiveness rate, a higher gap-closing rate, a lower trigger value for the maximum financing rate, or a lower number of schedules.",""))</f>
        <v/>
      </c>
      <c r="F81" s="252"/>
      <c r="G81" s="252"/>
      <c r="H81" s="252"/>
      <c r="I81" s="252"/>
      <c r="J81" s="252"/>
      <c r="K81" s="252"/>
      <c r="L81" s="252"/>
      <c r="M81" s="252"/>
      <c r="N81" s="252"/>
      <c r="O81" s="229"/>
      <c r="P81" s="255"/>
    </row>
    <row r="82" spans="3:16" x14ac:dyDescent="0.25">
      <c r="C82" s="242" t="s">
        <v>316</v>
      </c>
      <c r="D82" s="252">
        <f>IF(AND(F61="",E61&lt;&gt;""),F69*'Base Rate Calculation'!$I$25/$K$54,IF(AND(G61="",F61&lt;&gt;""),G69*'Base Rate Calculation'!$I$25/$K$54,IF(AND(H61="",G61&lt;&gt;""),H69*'Base Rate Calculation'!$I$25/$K$54,IF(AND(I61="",H61&lt;&gt;""),I69*'Base Rate Calculation'!$I$25/$K$54,IF(AND(J61="",I61&lt;&gt;""),J69*'Base Rate Calculation'!$I$25/$K$54,IF(AND(K61="",J61&lt;&gt;""),K69*'Base Rate Calculation'!$I$25/$K$54,IF(AND(L61="",K61&lt;&gt;""),L69*'Base Rate Calculation'!$I$25/$K$54,IF(AND(M61="",L61&lt;&gt;""),M69*'Base Rate Calculation'!$I$25/$K$54,IF(AND(N61="",M61&lt;&gt;""),N69*'Base Rate Calculation'!$I$25/$K$54,IF(AND(O61="",N61&lt;&gt;""),O69*'Base Rate Calculation'!$I$25/$K$54,"ERROR"))))))))))</f>
        <v>0.88626666666666687</v>
      </c>
      <c r="E82" s="254" t="str">
        <f>IF(D82&gt;100%,"WARNING: This value may be too high.  Choose a lower maximum financing rate, a lower responsiveness rate, a lower gap-closing rate, a higher trigger value for the maximum financing rate, or a higher number of schedules.",IF(D82&lt;70%,"WARNING: This value may be too low.  Choose a higher maximum financing rate, a higher responsiveness rate, a higher gap-closing rate, a lower trigger value for the maximum financing rate, or a lower number of schedules.",""))</f>
        <v/>
      </c>
      <c r="F82" s="252"/>
      <c r="G82" s="252"/>
      <c r="H82" s="252"/>
      <c r="I82" s="252"/>
      <c r="J82" s="252"/>
      <c r="K82" s="252"/>
      <c r="L82" s="252"/>
      <c r="M82" s="252"/>
      <c r="N82" s="252"/>
      <c r="O82" s="229"/>
      <c r="P82" s="255"/>
    </row>
    <row r="83" spans="3:16" ht="15.75" thickBot="1" x14ac:dyDescent="0.3">
      <c r="C83" s="256" t="s">
        <v>244</v>
      </c>
      <c r="D83" s="257">
        <f>D69/D67</f>
        <v>0.62222222222222223</v>
      </c>
      <c r="E83" s="257" t="str">
        <f>IF(D83&lt;40%,"WARNING: This value may be too low.  Choose a higher minimum financing rate, a lower responsiveness rate, a lower gap-closing rate, a lower trigger value for the minimum financing rate, or a higher number of schedules.",IF(D83&gt;80%,"WARNING: This value may be too high.  Choose a lower minimum financing rate, a higher responsiveness rate, a higher gap-closing rate, a higher trigger value for the minimum financing rate, or a lower number of schedules.",""))</f>
        <v/>
      </c>
      <c r="F83" s="257"/>
      <c r="G83" s="257"/>
      <c r="H83" s="257"/>
      <c r="I83" s="257"/>
      <c r="J83" s="257"/>
      <c r="K83" s="257"/>
      <c r="L83" s="257"/>
      <c r="M83" s="257"/>
      <c r="N83" s="257"/>
      <c r="O83" s="257"/>
      <c r="P83" s="258"/>
    </row>
    <row r="84" spans="3:16" ht="15.75" thickTop="1" x14ac:dyDescent="0.25"/>
  </sheetData>
  <sheetProtection password="CA8F" sheet="1" objects="1" scenarios="1" selectLockedCells="1"/>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V41"/>
  <sheetViews>
    <sheetView topLeftCell="B1" zoomScaleNormal="100" workbookViewId="0">
      <selection activeCell="D13" sqref="D13"/>
    </sheetView>
  </sheetViews>
  <sheetFormatPr defaultRowHeight="15" x14ac:dyDescent="0.25"/>
  <cols>
    <col min="1" max="1" width="13.140625" style="50" hidden="1" customWidth="1"/>
    <col min="2" max="2" width="4.85546875" style="50" customWidth="1"/>
    <col min="3" max="3" width="48.85546875" style="50" customWidth="1"/>
    <col min="4" max="4" width="14.7109375" style="50" customWidth="1"/>
    <col min="5" max="5" width="17.140625" style="50" customWidth="1"/>
    <col min="6" max="6" width="18.42578125" style="50" customWidth="1"/>
    <col min="7" max="9" width="8" style="50" customWidth="1"/>
    <col min="10" max="10" width="8.7109375" style="50" customWidth="1"/>
    <col min="11" max="14" width="9.140625" style="50" hidden="1" customWidth="1"/>
    <col min="15" max="15" width="15.5703125" style="50" customWidth="1"/>
    <col min="16" max="16" width="12.5703125" style="50" customWidth="1"/>
    <col min="17" max="18" width="9.28515625" style="50" hidden="1" customWidth="1"/>
    <col min="19" max="19" width="9.140625" style="50" hidden="1" customWidth="1"/>
    <col min="20" max="20" width="12.42578125" style="50" hidden="1" customWidth="1"/>
    <col min="21" max="21" width="12.5703125" style="50" hidden="1" customWidth="1"/>
    <col min="22" max="22" width="12.28515625" style="50" hidden="1" customWidth="1"/>
    <col min="23" max="23" width="12.5703125" style="50" customWidth="1"/>
    <col min="24" max="24" width="12.42578125" style="50" hidden="1" customWidth="1"/>
    <col min="25" max="27" width="16.7109375" style="50" hidden="1" customWidth="1"/>
    <col min="28" max="36" width="9.140625" style="50" hidden="1" customWidth="1"/>
    <col min="37" max="39" width="16.7109375" style="50" customWidth="1"/>
    <col min="40" max="48" width="9.140625" style="50" hidden="1" customWidth="1"/>
    <col min="49" max="65" width="9.140625" style="50" customWidth="1"/>
    <col min="66" max="16384" width="9.140625" style="50"/>
  </cols>
  <sheetData>
    <row r="1" spans="1:47" ht="21" x14ac:dyDescent="0.35">
      <c r="A1" s="19" t="s">
        <v>125</v>
      </c>
      <c r="C1" s="144" t="s">
        <v>211</v>
      </c>
      <c r="G1" s="49"/>
      <c r="H1" s="49"/>
      <c r="I1" s="49"/>
      <c r="J1" s="49"/>
      <c r="S1" s="51"/>
      <c r="T1" s="51"/>
    </row>
    <row r="2" spans="1:47" x14ac:dyDescent="0.25">
      <c r="A2" s="19" t="s">
        <v>125</v>
      </c>
      <c r="G2" s="49"/>
      <c r="H2" s="49"/>
      <c r="I2" s="49"/>
      <c r="J2" s="49"/>
      <c r="S2" s="51"/>
      <c r="T2" s="51"/>
    </row>
    <row r="3" spans="1:47" ht="9.75" customHeight="1" x14ac:dyDescent="0.35">
      <c r="A3" s="19"/>
      <c r="C3" s="144"/>
      <c r="G3" s="49"/>
      <c r="H3" s="49"/>
      <c r="I3" s="49"/>
      <c r="J3" s="49"/>
      <c r="S3" s="51"/>
      <c r="T3" s="51"/>
    </row>
    <row r="4" spans="1:47" ht="31.5" x14ac:dyDescent="0.5">
      <c r="C4" s="259" t="s">
        <v>185</v>
      </c>
      <c r="G4" s="49"/>
      <c r="H4" s="49"/>
      <c r="I4" s="49"/>
      <c r="J4" s="49"/>
    </row>
    <row r="5" spans="1:47" ht="18.75" x14ac:dyDescent="0.3">
      <c r="C5" s="137" t="s">
        <v>186</v>
      </c>
      <c r="G5" s="49"/>
      <c r="H5" s="49"/>
      <c r="I5" s="49"/>
      <c r="J5" s="49"/>
    </row>
    <row r="6" spans="1:47" ht="18.75" x14ac:dyDescent="0.3">
      <c r="C6" s="137" t="s">
        <v>187</v>
      </c>
      <c r="G6" s="49"/>
      <c r="H6" s="49"/>
      <c r="I6" s="49"/>
      <c r="J6" s="49"/>
      <c r="S6" s="52"/>
      <c r="T6" s="52"/>
      <c r="U6" s="52"/>
    </row>
    <row r="7" spans="1:47" ht="18.75" x14ac:dyDescent="0.3">
      <c r="C7" s="137" t="s">
        <v>348</v>
      </c>
      <c r="G7" s="49"/>
      <c r="H7" s="49"/>
      <c r="I7" s="49"/>
      <c r="J7" s="49"/>
      <c r="S7" s="52"/>
      <c r="T7" s="52"/>
      <c r="U7" s="52"/>
    </row>
    <row r="8" spans="1:47" ht="18.75" x14ac:dyDescent="0.3">
      <c r="C8" s="137" t="s">
        <v>347</v>
      </c>
      <c r="G8" s="49"/>
      <c r="H8" s="49"/>
      <c r="I8" s="49"/>
      <c r="J8" s="49"/>
      <c r="S8" s="52"/>
      <c r="T8" s="52"/>
      <c r="U8" s="52"/>
    </row>
    <row r="9" spans="1:47" ht="19.5" thickBot="1" x14ac:dyDescent="0.35">
      <c r="G9" s="49"/>
      <c r="H9" s="49"/>
      <c r="I9" s="49"/>
      <c r="J9" s="49"/>
      <c r="S9" s="52"/>
      <c r="T9" s="52"/>
      <c r="U9" s="52"/>
      <c r="X9" s="53"/>
      <c r="Z9" s="130"/>
      <c r="AA9" s="130"/>
    </row>
    <row r="10" spans="1:47" ht="29.25" thickTop="1" x14ac:dyDescent="0.45">
      <c r="C10" s="260" t="s">
        <v>198</v>
      </c>
      <c r="D10" s="261"/>
      <c r="E10" s="262" t="s">
        <v>188</v>
      </c>
      <c r="F10" s="262" t="s">
        <v>189</v>
      </c>
      <c r="G10" s="68"/>
      <c r="H10" s="26"/>
      <c r="I10" s="26"/>
      <c r="J10" s="49"/>
      <c r="O10" s="75"/>
      <c r="P10" s="76" t="s">
        <v>190</v>
      </c>
      <c r="Q10" s="77" t="s">
        <v>191</v>
      </c>
      <c r="R10" s="78"/>
      <c r="S10" s="78"/>
      <c r="T10" s="78"/>
      <c r="U10" s="78"/>
      <c r="V10" s="78"/>
      <c r="W10" s="76" t="s">
        <v>193</v>
      </c>
      <c r="X10" s="78"/>
      <c r="Y10" s="104" t="s">
        <v>192</v>
      </c>
      <c r="Z10" s="131"/>
      <c r="AA10" s="132"/>
      <c r="AK10" s="104" t="s">
        <v>192</v>
      </c>
      <c r="AL10" s="131"/>
      <c r="AM10" s="132"/>
    </row>
    <row r="11" spans="1:47" ht="23.25" x14ac:dyDescent="0.35">
      <c r="C11" s="263"/>
      <c r="D11" s="264" t="s">
        <v>132</v>
      </c>
      <c r="E11" s="264" t="s">
        <v>134</v>
      </c>
      <c r="F11" s="264" t="s">
        <v>134</v>
      </c>
      <c r="G11" s="69"/>
      <c r="H11" s="26"/>
      <c r="I11" s="26"/>
      <c r="J11" s="49"/>
      <c r="O11" s="383" t="s">
        <v>193</v>
      </c>
      <c r="P11" s="79" t="s">
        <v>194</v>
      </c>
      <c r="Q11" s="79" t="s">
        <v>195</v>
      </c>
      <c r="R11" s="79" t="s">
        <v>196</v>
      </c>
      <c r="S11" s="80">
        <v>1</v>
      </c>
      <c r="T11" s="79" t="s">
        <v>197</v>
      </c>
      <c r="U11" s="81"/>
      <c r="V11" s="81"/>
      <c r="W11" s="79" t="s">
        <v>254</v>
      </c>
      <c r="X11" s="81"/>
      <c r="Y11" s="82" t="s">
        <v>188</v>
      </c>
      <c r="Z11" s="82" t="s">
        <v>132</v>
      </c>
      <c r="AA11" s="83" t="s">
        <v>189</v>
      </c>
      <c r="AK11" s="82" t="s">
        <v>188</v>
      </c>
      <c r="AL11" s="82" t="s">
        <v>132</v>
      </c>
      <c r="AM11" s="83" t="s">
        <v>189</v>
      </c>
    </row>
    <row r="12" spans="1:47" ht="24" thickBot="1" x14ac:dyDescent="0.4">
      <c r="C12" s="265"/>
      <c r="D12" s="266" t="s">
        <v>134</v>
      </c>
      <c r="E12" s="267" t="s">
        <v>199</v>
      </c>
      <c r="F12" s="267" t="s">
        <v>200</v>
      </c>
      <c r="G12" s="70"/>
      <c r="H12" s="26"/>
      <c r="I12" s="26"/>
      <c r="J12" s="49"/>
      <c r="O12" s="384" t="s">
        <v>201</v>
      </c>
      <c r="P12" s="84" t="s">
        <v>202</v>
      </c>
      <c r="Q12" s="84" t="s">
        <v>203</v>
      </c>
      <c r="R12" s="84" t="s">
        <v>203</v>
      </c>
      <c r="S12" s="84" t="s">
        <v>204</v>
      </c>
      <c r="T12" s="84" t="s">
        <v>205</v>
      </c>
      <c r="U12" s="84" t="s">
        <v>206</v>
      </c>
      <c r="V12" s="85" t="s">
        <v>207</v>
      </c>
      <c r="W12" s="84" t="s">
        <v>345</v>
      </c>
      <c r="X12" s="81" t="s">
        <v>208</v>
      </c>
      <c r="Y12" s="86" t="s">
        <v>134</v>
      </c>
      <c r="Z12" s="86" t="s">
        <v>134</v>
      </c>
      <c r="AA12" s="87" t="s">
        <v>134</v>
      </c>
      <c r="AK12" s="86" t="s">
        <v>134</v>
      </c>
      <c r="AL12" s="86" t="s">
        <v>134</v>
      </c>
      <c r="AM12" s="87" t="s">
        <v>134</v>
      </c>
      <c r="AS12" s="50" t="s">
        <v>322</v>
      </c>
    </row>
    <row r="13" spans="1:47" ht="25.5" customHeight="1" thickTop="1" thickBot="1" x14ac:dyDescent="0.4">
      <c r="C13" s="71" t="s">
        <v>209</v>
      </c>
      <c r="D13" s="63">
        <v>5.0000000000000001E-3</v>
      </c>
      <c r="E13" s="64"/>
      <c r="F13" s="64"/>
      <c r="G13" s="69"/>
      <c r="H13" s="26"/>
      <c r="I13" s="26"/>
      <c r="J13" s="49"/>
      <c r="O13" s="383">
        <v>1</v>
      </c>
      <c r="P13" s="80">
        <v>0.05</v>
      </c>
      <c r="Q13" s="88"/>
      <c r="R13" s="88"/>
      <c r="S13" s="88"/>
      <c r="T13" s="89">
        <f>Z13/D15</f>
        <v>0.22123893805309736</v>
      </c>
      <c r="U13" s="89">
        <f>T13</f>
        <v>0.22123893805309736</v>
      </c>
      <c r="V13" s="89">
        <f t="shared" ref="V13:V32" si="0">ROUND(U13,2)</f>
        <v>0.22</v>
      </c>
      <c r="W13" s="88">
        <f t="shared" ref="W13" si="1">V13</f>
        <v>0.22</v>
      </c>
      <c r="X13" s="89"/>
      <c r="Y13" s="385">
        <f>MAX(ROUND($W13*Y$34,4),Y14-$Y$38)</f>
        <v>4.1999999999999997E-3</v>
      </c>
      <c r="Z13" s="385">
        <f>D13</f>
        <v>5.0000000000000001E-3</v>
      </c>
      <c r="AA13" s="387">
        <f>MAX(ROUND($W13*AA$34,4),AA14-$Y$38)</f>
        <v>7.1999999999999998E-3</v>
      </c>
      <c r="AC13" s="52">
        <f>$P13*Y13</f>
        <v>2.1000000000000001E-4</v>
      </c>
      <c r="AD13" s="52">
        <f>$P13*Z13</f>
        <v>2.5000000000000001E-4</v>
      </c>
      <c r="AE13" s="52">
        <f>$P13*AA13</f>
        <v>3.6000000000000002E-4</v>
      </c>
      <c r="AF13" s="52"/>
      <c r="AG13" s="126">
        <f>IF(Y14-Y13&lt;$Y$38,1,0)</f>
        <v>1</v>
      </c>
      <c r="AH13" s="126">
        <f t="shared" ref="AH13:AH14" si="2">IF(Z14-Z13&lt;$Y$38,1,0)</f>
        <v>1</v>
      </c>
      <c r="AI13" s="126">
        <f t="shared" ref="AI13:AI14" si="3">IF(AA14-AA13&lt;$Y$38,1,0)</f>
        <v>1</v>
      </c>
      <c r="AJ13" s="52"/>
      <c r="AK13" s="385">
        <f t="shared" ref="AK13:AK31" si="4">IF(AND(Y$35&gt;Y$34,AG13=1),MAX(ROUND(Y13*(AG$37/AG$35),4),MIN($AK$38,$D$13)),Y13)</f>
        <v>4.0000000000000001E-3</v>
      </c>
      <c r="AL13" s="385">
        <f>D13</f>
        <v>5.0000000000000001E-3</v>
      </c>
      <c r="AM13" s="387">
        <f t="shared" ref="AM13:AM31" si="5">IF(AND(AA$35&gt;AA$34,AI13=1),MAX(ROUND(AA13*(AI$37/AI$35),4),$D$13),AA13)</f>
        <v>7.1999999999999998E-3</v>
      </c>
      <c r="AO13" s="52">
        <f>$P13*AK13</f>
        <v>2.0000000000000001E-4</v>
      </c>
      <c r="AP13" s="52">
        <f>$P13*AL13</f>
        <v>2.5000000000000001E-4</v>
      </c>
      <c r="AQ13" s="52">
        <f>$P13*AM13</f>
        <v>3.6000000000000002E-4</v>
      </c>
    </row>
    <row r="14" spans="1:47" ht="24.75" thickTop="1" thickBot="1" x14ac:dyDescent="0.4">
      <c r="C14" s="72" t="s">
        <v>210</v>
      </c>
      <c r="D14" s="65">
        <v>5.3999999999999999E-2</v>
      </c>
      <c r="E14" s="66"/>
      <c r="F14" s="66"/>
      <c r="G14" s="70"/>
      <c r="H14" s="26"/>
      <c r="I14" s="26"/>
      <c r="J14" s="49"/>
      <c r="O14" s="383">
        <v>2</v>
      </c>
      <c r="P14" s="80">
        <v>0.05</v>
      </c>
      <c r="Q14" s="90">
        <v>1.635</v>
      </c>
      <c r="R14" s="90">
        <v>1.7</v>
      </c>
      <c r="S14" s="88">
        <f t="shared" ref="S14:S30" si="6">IF($K$29&lt;Q14,0,IF($K$29&lt;=R14,100%,0))</f>
        <v>0</v>
      </c>
      <c r="T14" s="89">
        <f t="shared" ref="T14:T31" si="7">IF(S14=100%,S14,IF(T13&lt;100%,T13+M$34,T13+M$35))</f>
        <v>0.29203539823008851</v>
      </c>
      <c r="U14" s="89">
        <f t="shared" ref="U14:U31" si="8">IF(T14=100%,T14,T14+K$32)</f>
        <v>0.23672566371681403</v>
      </c>
      <c r="V14" s="89">
        <f t="shared" ref="V14:V21" si="9">IF(U14=100%,U14,MAX(ROUND(U14,2),V13+1%))</f>
        <v>0.24</v>
      </c>
      <c r="W14" s="88">
        <f>IF(V14=100%,V14,IF(V$35&gt;2018%,V14-1%,IF(V$35&lt;1982%,V14+1%,V14)))</f>
        <v>0.24</v>
      </c>
      <c r="X14" s="89">
        <f>W14-W13</f>
        <v>1.999999999999999E-2</v>
      </c>
      <c r="Y14" s="385">
        <f t="shared" ref="Y14:Y30" si="10">MAX(ROUND($W14*Y$34,4),Y15-$Y$38)</f>
        <v>4.5999999999999999E-3</v>
      </c>
      <c r="Z14" s="385">
        <f t="shared" ref="Z14:Z31" si="11">MAX(ROUND($W14*Z$34,4),Z15-$Y$38)</f>
        <v>5.4000000000000003E-3</v>
      </c>
      <c r="AA14" s="387">
        <f t="shared" ref="AA14:AA31" si="12">MAX(ROUND($W14*AA$34,4),AA15-$Y$38)</f>
        <v>7.7999999999999996E-3</v>
      </c>
      <c r="AC14" s="52">
        <f t="shared" ref="AC14:AC32" si="13">$P14*Y14</f>
        <v>2.3000000000000001E-4</v>
      </c>
      <c r="AD14" s="52">
        <f t="shared" ref="AD14:AD32" si="14">$P14*Z14</f>
        <v>2.7E-4</v>
      </c>
      <c r="AE14" s="52">
        <f t="shared" ref="AE14:AE32" si="15">$P14*AA14</f>
        <v>3.8999999999999999E-4</v>
      </c>
      <c r="AF14" s="52"/>
      <c r="AG14" s="128">
        <f>IF(Y15-Y14&lt;$Y$38,1,0)</f>
        <v>1</v>
      </c>
      <c r="AH14" s="128">
        <f t="shared" si="2"/>
        <v>1</v>
      </c>
      <c r="AI14" s="128">
        <f t="shared" si="3"/>
        <v>1</v>
      </c>
      <c r="AJ14" s="52"/>
      <c r="AK14" s="385">
        <f t="shared" si="4"/>
        <v>4.4000000000000003E-3</v>
      </c>
      <c r="AL14" s="385">
        <f t="shared" ref="AL14" si="16">IF(AND(Z$35&gt;Z$34,AH14=1),MAX(ROUND(Z14*(AH$37/AH$35),4),$D$13),Z14)</f>
        <v>5.4000000000000003E-3</v>
      </c>
      <c r="AM14" s="387">
        <f t="shared" ref="AM14" si="17">IF(AND(AA$35&gt;AA$34,AI14=1),MAX(ROUND(AA14*(AI$37/AI$35),4),$D$13),AA14)</f>
        <v>7.7999999999999996E-3</v>
      </c>
      <c r="AO14" s="52">
        <f t="shared" ref="AO14:AO32" si="18">$P14*AK14</f>
        <v>2.2000000000000003E-4</v>
      </c>
      <c r="AP14" s="52">
        <f t="shared" ref="AP14:AP32" si="19">$P14*AL14</f>
        <v>2.7E-4</v>
      </c>
      <c r="AQ14" s="52">
        <f t="shared" ref="AQ14:AQ32" si="20">$P14*AM14</f>
        <v>3.8999999999999999E-4</v>
      </c>
      <c r="AS14" s="51">
        <f>AK14-AK13</f>
        <v>4.0000000000000018E-4</v>
      </c>
      <c r="AT14" s="51">
        <f t="shared" ref="AT14:AT32" si="21">AL14-AL13</f>
        <v>4.0000000000000018E-4</v>
      </c>
      <c r="AU14" s="51">
        <f t="shared" ref="AU14:AU32" si="22">AM14-AM13</f>
        <v>5.9999999999999984E-4</v>
      </c>
    </row>
    <row r="15" spans="1:47" ht="24.75" thickTop="1" thickBot="1" x14ac:dyDescent="0.4">
      <c r="A15" s="19"/>
      <c r="C15" s="73" t="s">
        <v>346</v>
      </c>
      <c r="D15" s="63">
        <v>2.2599999999999999E-2</v>
      </c>
      <c r="E15" s="67">
        <v>1.9099999999999999E-2</v>
      </c>
      <c r="F15" s="67">
        <v>3.2599999999999997E-2</v>
      </c>
      <c r="G15" s="74"/>
      <c r="H15" s="26"/>
      <c r="I15" s="26"/>
      <c r="J15" s="49"/>
      <c r="O15" s="383">
        <v>3</v>
      </c>
      <c r="P15" s="80">
        <v>0.05</v>
      </c>
      <c r="Q15" s="90">
        <v>1.5549999999999999</v>
      </c>
      <c r="R15" s="90">
        <v>1.675</v>
      </c>
      <c r="S15" s="88">
        <f t="shared" si="6"/>
        <v>0</v>
      </c>
      <c r="T15" s="89">
        <f t="shared" si="7"/>
        <v>0.36283185840707965</v>
      </c>
      <c r="U15" s="89">
        <f t="shared" si="8"/>
        <v>0.30752212389380518</v>
      </c>
      <c r="V15" s="89">
        <f t="shared" si="9"/>
        <v>0.31</v>
      </c>
      <c r="W15" s="88">
        <f>IF(V15=100%,V15,IF(V$35&gt;2017%,V15-1%,IF(V$35&lt;1983%,V15+1%,V15)))</f>
        <v>0.31</v>
      </c>
      <c r="X15" s="89">
        <f t="shared" ref="X15:X32" si="23">W15-W14</f>
        <v>7.0000000000000007E-2</v>
      </c>
      <c r="Y15" s="385">
        <f t="shared" si="10"/>
        <v>5.8999999999999999E-3</v>
      </c>
      <c r="Z15" s="385">
        <f t="shared" si="11"/>
        <v>7.0000000000000001E-3</v>
      </c>
      <c r="AA15" s="387">
        <f t="shared" si="12"/>
        <v>1.01E-2</v>
      </c>
      <c r="AC15" s="52">
        <f t="shared" si="13"/>
        <v>2.9500000000000001E-4</v>
      </c>
      <c r="AD15" s="52">
        <f t="shared" si="14"/>
        <v>3.5000000000000005E-4</v>
      </c>
      <c r="AE15" s="52">
        <f t="shared" si="15"/>
        <v>5.0500000000000002E-4</v>
      </c>
      <c r="AF15" s="52"/>
      <c r="AG15" s="128">
        <f t="shared" ref="AG15:AG31" si="24">IF(AND(Y16-Y15&lt;$Y$38,AG14=1),1,0)</f>
        <v>1</v>
      </c>
      <c r="AH15" s="128">
        <f t="shared" ref="AH15:AH31" si="25">IF(AND(Z16-Z15&lt;$Y$38,AH14=1),1,0)</f>
        <v>1</v>
      </c>
      <c r="AI15" s="128">
        <f t="shared" ref="AI15:AI30" si="26">IF(AND(AA16-AA15&lt;$Y$38,AI14=1),1,0)</f>
        <v>1</v>
      </c>
      <c r="AJ15" s="52"/>
      <c r="AK15" s="385">
        <f t="shared" si="4"/>
        <v>5.7000000000000002E-3</v>
      </c>
      <c r="AL15" s="385">
        <f t="shared" ref="AL15:AL31" si="27">IF(AND(Z$35&gt;Z$34,AH15=1),MAX(ROUND(Z15*(AH$37/AH$35),4),$D$13),Z15)</f>
        <v>7.0000000000000001E-3</v>
      </c>
      <c r="AM15" s="387">
        <f t="shared" si="5"/>
        <v>1.01E-2</v>
      </c>
      <c r="AO15" s="52">
        <f t="shared" si="18"/>
        <v>2.8500000000000004E-4</v>
      </c>
      <c r="AP15" s="52">
        <f t="shared" si="19"/>
        <v>3.5000000000000005E-4</v>
      </c>
      <c r="AQ15" s="52">
        <f t="shared" si="20"/>
        <v>5.0500000000000002E-4</v>
      </c>
      <c r="AS15" s="51">
        <f t="shared" ref="AS15:AS32" si="28">AK15-AK14</f>
        <v>1.2999999999999999E-3</v>
      </c>
      <c r="AT15" s="51">
        <f t="shared" si="21"/>
        <v>1.5999999999999999E-3</v>
      </c>
      <c r="AU15" s="51">
        <f t="shared" si="22"/>
        <v>2.3E-3</v>
      </c>
    </row>
    <row r="16" spans="1:47" ht="21.75" thickTop="1" x14ac:dyDescent="0.35">
      <c r="C16" s="55" t="str">
        <f>IF(D14&lt;5.4%,"ERROR: Maximum tax rate must equal or exceed 5.4%.","")</f>
        <v/>
      </c>
      <c r="G16" s="49"/>
      <c r="H16" s="49"/>
      <c r="I16" s="49"/>
      <c r="J16" s="49"/>
      <c r="O16" s="383">
        <v>4</v>
      </c>
      <c r="P16" s="80">
        <v>0.05</v>
      </c>
      <c r="Q16" s="90">
        <v>1.4750000000000001</v>
      </c>
      <c r="R16" s="90">
        <v>1.595</v>
      </c>
      <c r="S16" s="88">
        <f t="shared" si="6"/>
        <v>0</v>
      </c>
      <c r="T16" s="89">
        <f t="shared" si="7"/>
        <v>0.4336283185840708</v>
      </c>
      <c r="U16" s="89">
        <f t="shared" si="8"/>
        <v>0.37831858407079633</v>
      </c>
      <c r="V16" s="89">
        <f t="shared" si="9"/>
        <v>0.38</v>
      </c>
      <c r="W16" s="88">
        <f>IF(V16=100%,V16,IF(V$35&gt;2016%,V16-1%,IF(V$35&lt;1984%,V16+1%,V16)))</f>
        <v>0.38</v>
      </c>
      <c r="X16" s="89">
        <f t="shared" si="23"/>
        <v>7.0000000000000007E-2</v>
      </c>
      <c r="Y16" s="385">
        <f t="shared" si="10"/>
        <v>7.3000000000000001E-3</v>
      </c>
      <c r="Z16" s="385">
        <f t="shared" si="11"/>
        <v>8.6E-3</v>
      </c>
      <c r="AA16" s="387">
        <f t="shared" si="12"/>
        <v>1.24E-2</v>
      </c>
      <c r="AC16" s="52">
        <f t="shared" si="13"/>
        <v>3.6500000000000004E-4</v>
      </c>
      <c r="AD16" s="52">
        <f t="shared" si="14"/>
        <v>4.3000000000000004E-4</v>
      </c>
      <c r="AE16" s="52">
        <f t="shared" si="15"/>
        <v>6.2E-4</v>
      </c>
      <c r="AF16" s="52"/>
      <c r="AG16" s="128">
        <f t="shared" si="24"/>
        <v>1</v>
      </c>
      <c r="AH16" s="128">
        <f t="shared" si="25"/>
        <v>1</v>
      </c>
      <c r="AI16" s="128">
        <f t="shared" si="26"/>
        <v>1</v>
      </c>
      <c r="AJ16" s="52"/>
      <c r="AK16" s="385">
        <f t="shared" si="4"/>
        <v>7.0000000000000001E-3</v>
      </c>
      <c r="AL16" s="385">
        <f t="shared" si="27"/>
        <v>8.6E-3</v>
      </c>
      <c r="AM16" s="387">
        <f t="shared" si="5"/>
        <v>1.24E-2</v>
      </c>
      <c r="AO16" s="52">
        <f t="shared" si="18"/>
        <v>3.5000000000000005E-4</v>
      </c>
      <c r="AP16" s="52">
        <f t="shared" si="19"/>
        <v>4.3000000000000004E-4</v>
      </c>
      <c r="AQ16" s="52">
        <f t="shared" si="20"/>
        <v>6.2E-4</v>
      </c>
      <c r="AS16" s="51">
        <f t="shared" si="28"/>
        <v>1.2999999999999999E-3</v>
      </c>
      <c r="AT16" s="51">
        <f t="shared" si="21"/>
        <v>1.5999999999999999E-3</v>
      </c>
      <c r="AU16" s="51">
        <f t="shared" si="22"/>
        <v>2.3E-3</v>
      </c>
    </row>
    <row r="17" spans="3:47" ht="21" x14ac:dyDescent="0.35">
      <c r="C17" s="56" t="str">
        <f>IF(OR(Z32&lt;Z31,AND(MIN(X14:X32)&lt;0,D15/AVERAGE(D13:D15)&gt;1),D15/AVERAGE(D13:D15)&gt;R14),"ERROR: Maximum and/or minimum tax rates are too low for specified average tax rate.","")</f>
        <v/>
      </c>
      <c r="D17" s="51"/>
      <c r="G17" s="49"/>
      <c r="H17" s="49"/>
      <c r="I17" s="49"/>
      <c r="J17" s="49"/>
      <c r="O17" s="383">
        <v>5</v>
      </c>
      <c r="P17" s="80">
        <v>0.05</v>
      </c>
      <c r="Q17" s="90">
        <v>1.395</v>
      </c>
      <c r="R17" s="90">
        <v>1.5049999999999999</v>
      </c>
      <c r="S17" s="88">
        <f t="shared" si="6"/>
        <v>0</v>
      </c>
      <c r="T17" s="89">
        <f t="shared" si="7"/>
        <v>0.50442477876106195</v>
      </c>
      <c r="U17" s="89">
        <f t="shared" si="8"/>
        <v>0.44911504424778748</v>
      </c>
      <c r="V17" s="89">
        <f t="shared" si="9"/>
        <v>0.45</v>
      </c>
      <c r="W17" s="88">
        <f>IF(V17=100%,V17,IF(V$35&gt;2015%,V17-1%,IF(V$35&lt;1985%,V17+1%,V17)))</f>
        <v>0.45</v>
      </c>
      <c r="X17" s="89">
        <f t="shared" si="23"/>
        <v>7.0000000000000007E-2</v>
      </c>
      <c r="Y17" s="385">
        <f t="shared" si="10"/>
        <v>8.6E-3</v>
      </c>
      <c r="Z17" s="385">
        <f t="shared" si="11"/>
        <v>1.0200000000000001E-2</v>
      </c>
      <c r="AA17" s="387">
        <f t="shared" si="12"/>
        <v>1.47E-2</v>
      </c>
      <c r="AC17" s="52">
        <f t="shared" si="13"/>
        <v>4.3000000000000004E-4</v>
      </c>
      <c r="AD17" s="52">
        <f t="shared" si="14"/>
        <v>5.1000000000000004E-4</v>
      </c>
      <c r="AE17" s="52">
        <f t="shared" si="15"/>
        <v>7.3499999999999998E-4</v>
      </c>
      <c r="AF17" s="52"/>
      <c r="AG17" s="128">
        <f t="shared" si="24"/>
        <v>1</v>
      </c>
      <c r="AH17" s="128">
        <f t="shared" si="25"/>
        <v>1</v>
      </c>
      <c r="AI17" s="128">
        <f t="shared" si="26"/>
        <v>1</v>
      </c>
      <c r="AJ17" s="52"/>
      <c r="AK17" s="385">
        <f t="shared" si="4"/>
        <v>8.2000000000000007E-3</v>
      </c>
      <c r="AL17" s="385">
        <f t="shared" si="27"/>
        <v>1.0200000000000001E-2</v>
      </c>
      <c r="AM17" s="387">
        <f t="shared" si="5"/>
        <v>1.47E-2</v>
      </c>
      <c r="AO17" s="52">
        <f t="shared" si="18"/>
        <v>4.1000000000000005E-4</v>
      </c>
      <c r="AP17" s="52">
        <f t="shared" si="19"/>
        <v>5.1000000000000004E-4</v>
      </c>
      <c r="AQ17" s="52">
        <f t="shared" si="20"/>
        <v>7.3499999999999998E-4</v>
      </c>
      <c r="AS17" s="51">
        <f t="shared" si="28"/>
        <v>1.2000000000000005E-3</v>
      </c>
      <c r="AT17" s="51">
        <f t="shared" si="21"/>
        <v>1.6000000000000007E-3</v>
      </c>
      <c r="AU17" s="51">
        <f t="shared" si="22"/>
        <v>2.3E-3</v>
      </c>
    </row>
    <row r="18" spans="3:47" ht="21" x14ac:dyDescent="0.35">
      <c r="C18" s="56" t="str">
        <f>IF(OR(Z14&lt;Z13,AND(MIN(X14:X32)&lt;0,D15/AVERAGE(D13:D15)&lt;1),D15/AVERAGE(D13:D15)&lt;Q30),"ERROR: Maximum and/or minimum tax rates are too high for specified average tax rate.","")</f>
        <v/>
      </c>
      <c r="G18" s="49"/>
      <c r="H18" s="49"/>
      <c r="I18" s="49"/>
      <c r="J18" s="49"/>
      <c r="O18" s="383">
        <v>6</v>
      </c>
      <c r="P18" s="80">
        <v>0.05</v>
      </c>
      <c r="Q18" s="90">
        <v>1.3049999999999999</v>
      </c>
      <c r="R18" s="90">
        <v>1.425</v>
      </c>
      <c r="S18" s="88">
        <f t="shared" si="6"/>
        <v>0</v>
      </c>
      <c r="T18" s="89">
        <f t="shared" si="7"/>
        <v>0.5752212389380531</v>
      </c>
      <c r="U18" s="89">
        <f t="shared" si="8"/>
        <v>0.51991150442477863</v>
      </c>
      <c r="V18" s="89">
        <f t="shared" si="9"/>
        <v>0.52</v>
      </c>
      <c r="W18" s="88">
        <f>IF(V18=100%,V18,IF(V$35&gt;2014%,V18-1%,IF(V$35&lt;1986%,V18+1%,V18)))</f>
        <v>0.52</v>
      </c>
      <c r="X18" s="89">
        <f t="shared" si="23"/>
        <v>7.0000000000000007E-2</v>
      </c>
      <c r="Y18" s="385">
        <f t="shared" si="10"/>
        <v>9.9000000000000008E-3</v>
      </c>
      <c r="Z18" s="385">
        <f t="shared" si="11"/>
        <v>1.18E-2</v>
      </c>
      <c r="AA18" s="387">
        <f t="shared" si="12"/>
        <v>1.7000000000000001E-2</v>
      </c>
      <c r="AC18" s="52">
        <f t="shared" si="13"/>
        <v>4.9500000000000011E-4</v>
      </c>
      <c r="AD18" s="52">
        <f t="shared" si="14"/>
        <v>5.9000000000000003E-4</v>
      </c>
      <c r="AE18" s="52">
        <f t="shared" si="15"/>
        <v>8.5000000000000006E-4</v>
      </c>
      <c r="AF18" s="52"/>
      <c r="AG18" s="128">
        <f t="shared" si="24"/>
        <v>1</v>
      </c>
      <c r="AH18" s="128">
        <f t="shared" si="25"/>
        <v>1</v>
      </c>
      <c r="AI18" s="128">
        <f t="shared" si="26"/>
        <v>1</v>
      </c>
      <c r="AJ18" s="52"/>
      <c r="AK18" s="385">
        <f t="shared" si="4"/>
        <v>9.4999999999999998E-3</v>
      </c>
      <c r="AL18" s="385">
        <f t="shared" si="27"/>
        <v>1.18E-2</v>
      </c>
      <c r="AM18" s="387">
        <f t="shared" si="5"/>
        <v>1.7000000000000001E-2</v>
      </c>
      <c r="AO18" s="52">
        <f t="shared" si="18"/>
        <v>4.75E-4</v>
      </c>
      <c r="AP18" s="52">
        <f t="shared" si="19"/>
        <v>5.9000000000000003E-4</v>
      </c>
      <c r="AQ18" s="52">
        <f t="shared" si="20"/>
        <v>8.5000000000000006E-4</v>
      </c>
      <c r="AS18" s="51">
        <f t="shared" si="28"/>
        <v>1.2999999999999991E-3</v>
      </c>
      <c r="AT18" s="51">
        <f t="shared" si="21"/>
        <v>1.599999999999999E-3</v>
      </c>
      <c r="AU18" s="51">
        <f t="shared" si="22"/>
        <v>2.3000000000000017E-3</v>
      </c>
    </row>
    <row r="19" spans="3:47" ht="21" x14ac:dyDescent="0.35">
      <c r="C19" s="56" t="str">
        <f>IF(OR(AS14&gt;0.9%,AT14&gt;0.9%,AU14&gt;0.9%),"ERROR: MINIMUM RATE IS TOO LOW FOR AVERAGE RATE AND MAXIMUM RATE","")</f>
        <v/>
      </c>
      <c r="G19" s="49"/>
      <c r="H19" s="49"/>
      <c r="I19" s="49"/>
      <c r="J19" s="49"/>
      <c r="O19" s="383">
        <v>7</v>
      </c>
      <c r="P19" s="80">
        <v>0.05</v>
      </c>
      <c r="Q19" s="90">
        <v>1.2250000000000001</v>
      </c>
      <c r="R19" s="90">
        <v>1.345</v>
      </c>
      <c r="S19" s="88">
        <f t="shared" si="6"/>
        <v>0</v>
      </c>
      <c r="T19" s="89">
        <f t="shared" si="7"/>
        <v>0.64601769911504425</v>
      </c>
      <c r="U19" s="89">
        <f t="shared" si="8"/>
        <v>0.59070796460176977</v>
      </c>
      <c r="V19" s="89">
        <f t="shared" si="9"/>
        <v>0.59</v>
      </c>
      <c r="W19" s="88">
        <f>IF(V19=100%,V19,IF(V$35&gt;2013%,V19-1%,IF(V$35&lt;1987%,V19+1%,V19)))</f>
        <v>0.59</v>
      </c>
      <c r="X19" s="89">
        <f t="shared" si="23"/>
        <v>6.9999999999999951E-2</v>
      </c>
      <c r="Y19" s="385">
        <f t="shared" si="10"/>
        <v>1.1299999999999999E-2</v>
      </c>
      <c r="Z19" s="385">
        <f t="shared" si="11"/>
        <v>1.3299999999999999E-2</v>
      </c>
      <c r="AA19" s="387">
        <f t="shared" si="12"/>
        <v>1.9199999999999998E-2</v>
      </c>
      <c r="AC19" s="52">
        <f t="shared" si="13"/>
        <v>5.6499999999999996E-4</v>
      </c>
      <c r="AD19" s="52">
        <f t="shared" si="14"/>
        <v>6.6500000000000001E-4</v>
      </c>
      <c r="AE19" s="52">
        <f t="shared" si="15"/>
        <v>9.5999999999999992E-4</v>
      </c>
      <c r="AF19" s="52"/>
      <c r="AG19" s="128">
        <f t="shared" si="24"/>
        <v>1</v>
      </c>
      <c r="AH19" s="128">
        <f t="shared" si="25"/>
        <v>1</v>
      </c>
      <c r="AI19" s="128">
        <f t="shared" si="26"/>
        <v>1</v>
      </c>
      <c r="AJ19" s="52"/>
      <c r="AK19" s="385">
        <f t="shared" si="4"/>
        <v>1.0800000000000001E-2</v>
      </c>
      <c r="AL19" s="385">
        <f t="shared" si="27"/>
        <v>1.3299999999999999E-2</v>
      </c>
      <c r="AM19" s="387">
        <f t="shared" si="5"/>
        <v>1.9199999999999998E-2</v>
      </c>
      <c r="AO19" s="52">
        <f t="shared" si="18"/>
        <v>5.4000000000000001E-4</v>
      </c>
      <c r="AP19" s="52">
        <f t="shared" si="19"/>
        <v>6.6500000000000001E-4</v>
      </c>
      <c r="AQ19" s="52">
        <f t="shared" si="20"/>
        <v>9.5999999999999992E-4</v>
      </c>
      <c r="AS19" s="51">
        <f t="shared" si="28"/>
        <v>1.3000000000000008E-3</v>
      </c>
      <c r="AT19" s="51">
        <f t="shared" si="21"/>
        <v>1.4999999999999996E-3</v>
      </c>
      <c r="AU19" s="51">
        <f t="shared" si="22"/>
        <v>2.1999999999999971E-3</v>
      </c>
    </row>
    <row r="20" spans="3:47" ht="21" x14ac:dyDescent="0.35">
      <c r="G20" s="49"/>
      <c r="H20" s="49"/>
      <c r="I20" s="49"/>
      <c r="J20" s="49"/>
      <c r="O20" s="383">
        <v>8</v>
      </c>
      <c r="P20" s="80">
        <v>0.05</v>
      </c>
      <c r="Q20" s="90">
        <v>1.145</v>
      </c>
      <c r="R20" s="90">
        <v>1.2649999999999999</v>
      </c>
      <c r="S20" s="88">
        <f t="shared" si="6"/>
        <v>0</v>
      </c>
      <c r="T20" s="89">
        <f t="shared" si="7"/>
        <v>0.7168141592920354</v>
      </c>
      <c r="U20" s="89">
        <f t="shared" si="8"/>
        <v>0.66150442477876092</v>
      </c>
      <c r="V20" s="89">
        <f t="shared" si="9"/>
        <v>0.66</v>
      </c>
      <c r="W20" s="88">
        <f>IF(V20=100%,V20,IF(V$35&gt;2012%,V20-1%,IF(V$35&lt;1988%,V20+1%,V20)))</f>
        <v>0.66</v>
      </c>
      <c r="X20" s="89">
        <f t="shared" si="23"/>
        <v>7.0000000000000062E-2</v>
      </c>
      <c r="Y20" s="385">
        <f t="shared" si="10"/>
        <v>1.26E-2</v>
      </c>
      <c r="Z20" s="385">
        <f t="shared" si="11"/>
        <v>1.49E-2</v>
      </c>
      <c r="AA20" s="387">
        <f t="shared" si="12"/>
        <v>2.1499999999999998E-2</v>
      </c>
      <c r="AC20" s="52">
        <f t="shared" si="13"/>
        <v>6.3000000000000003E-4</v>
      </c>
      <c r="AD20" s="52">
        <f t="shared" si="14"/>
        <v>7.45E-4</v>
      </c>
      <c r="AE20" s="52">
        <f t="shared" si="15"/>
        <v>1.075E-3</v>
      </c>
      <c r="AF20" s="52"/>
      <c r="AG20" s="128">
        <f t="shared" si="24"/>
        <v>1</v>
      </c>
      <c r="AH20" s="128">
        <f t="shared" si="25"/>
        <v>1</v>
      </c>
      <c r="AI20" s="128">
        <f t="shared" si="26"/>
        <v>1</v>
      </c>
      <c r="AJ20" s="52"/>
      <c r="AK20" s="385">
        <f t="shared" si="4"/>
        <v>1.21E-2</v>
      </c>
      <c r="AL20" s="385">
        <f t="shared" si="27"/>
        <v>1.49E-2</v>
      </c>
      <c r="AM20" s="387">
        <f t="shared" si="5"/>
        <v>2.1499999999999998E-2</v>
      </c>
      <c r="AO20" s="52">
        <f t="shared" si="18"/>
        <v>6.0500000000000007E-4</v>
      </c>
      <c r="AP20" s="52">
        <f t="shared" si="19"/>
        <v>7.45E-4</v>
      </c>
      <c r="AQ20" s="52">
        <f t="shared" si="20"/>
        <v>1.075E-3</v>
      </c>
      <c r="AS20" s="51">
        <f t="shared" si="28"/>
        <v>1.2999999999999991E-3</v>
      </c>
      <c r="AT20" s="51">
        <f t="shared" si="21"/>
        <v>1.6000000000000007E-3</v>
      </c>
      <c r="AU20" s="51">
        <f t="shared" si="22"/>
        <v>2.3E-3</v>
      </c>
    </row>
    <row r="21" spans="3:47" ht="21" x14ac:dyDescent="0.35">
      <c r="G21" s="49"/>
      <c r="H21" s="49"/>
      <c r="I21" s="49"/>
      <c r="J21" s="49"/>
      <c r="O21" s="383">
        <v>9</v>
      </c>
      <c r="P21" s="80">
        <v>0.05</v>
      </c>
      <c r="Q21" s="90">
        <v>1.0649999999999999</v>
      </c>
      <c r="R21" s="90">
        <v>1.1850000000000001</v>
      </c>
      <c r="S21" s="88">
        <f t="shared" si="6"/>
        <v>0</v>
      </c>
      <c r="T21" s="89">
        <f t="shared" si="7"/>
        <v>0.78761061946902655</v>
      </c>
      <c r="U21" s="89">
        <f t="shared" si="8"/>
        <v>0.73230088495575207</v>
      </c>
      <c r="V21" s="89">
        <f t="shared" si="9"/>
        <v>0.73</v>
      </c>
      <c r="W21" s="88">
        <f>IF(V21=100%,V21,IF(V$35&gt;2011%,V21-1%,IF(V$35&lt;1989%,V21+1%,V21)))</f>
        <v>0.73</v>
      </c>
      <c r="X21" s="89">
        <f t="shared" si="23"/>
        <v>6.9999999999999951E-2</v>
      </c>
      <c r="Y21" s="385">
        <f t="shared" si="10"/>
        <v>1.3899999999999999E-2</v>
      </c>
      <c r="Z21" s="385">
        <f t="shared" si="11"/>
        <v>1.6500000000000001E-2</v>
      </c>
      <c r="AA21" s="387">
        <f t="shared" si="12"/>
        <v>2.3800000000000002E-2</v>
      </c>
      <c r="AC21" s="52">
        <f t="shared" si="13"/>
        <v>6.9499999999999998E-4</v>
      </c>
      <c r="AD21" s="52">
        <f t="shared" si="14"/>
        <v>8.250000000000001E-4</v>
      </c>
      <c r="AE21" s="52">
        <f t="shared" si="15"/>
        <v>1.1900000000000001E-3</v>
      </c>
      <c r="AF21" s="52"/>
      <c r="AG21" s="128">
        <f t="shared" si="24"/>
        <v>1</v>
      </c>
      <c r="AH21" s="128">
        <f t="shared" si="25"/>
        <v>1</v>
      </c>
      <c r="AI21" s="128">
        <f t="shared" si="26"/>
        <v>1</v>
      </c>
      <c r="AJ21" s="52"/>
      <c r="AK21" s="385">
        <f t="shared" si="4"/>
        <v>1.3299999999999999E-2</v>
      </c>
      <c r="AL21" s="385">
        <f t="shared" si="27"/>
        <v>1.6500000000000001E-2</v>
      </c>
      <c r="AM21" s="387">
        <f t="shared" si="5"/>
        <v>2.3800000000000002E-2</v>
      </c>
      <c r="AO21" s="52">
        <f t="shared" si="18"/>
        <v>6.6500000000000001E-4</v>
      </c>
      <c r="AP21" s="52">
        <f t="shared" si="19"/>
        <v>8.250000000000001E-4</v>
      </c>
      <c r="AQ21" s="52">
        <f t="shared" si="20"/>
        <v>1.1900000000000001E-3</v>
      </c>
      <c r="AS21" s="51">
        <f t="shared" si="28"/>
        <v>1.1999999999999997E-3</v>
      </c>
      <c r="AT21" s="51">
        <f t="shared" si="21"/>
        <v>1.6000000000000007E-3</v>
      </c>
      <c r="AU21" s="51">
        <f t="shared" si="22"/>
        <v>2.3000000000000034E-3</v>
      </c>
    </row>
    <row r="22" spans="3:47" ht="21" x14ac:dyDescent="0.35">
      <c r="G22" s="49"/>
      <c r="H22" s="49"/>
      <c r="I22" s="49"/>
      <c r="J22" s="49"/>
      <c r="O22" s="383">
        <v>10</v>
      </c>
      <c r="P22" s="80">
        <v>0.05</v>
      </c>
      <c r="Q22" s="90">
        <v>0.97499999999999998</v>
      </c>
      <c r="R22" s="90">
        <v>1.105</v>
      </c>
      <c r="S22" s="88">
        <f t="shared" si="6"/>
        <v>0</v>
      </c>
      <c r="T22" s="89">
        <f t="shared" si="7"/>
        <v>0.8584070796460177</v>
      </c>
      <c r="U22" s="89">
        <f t="shared" si="8"/>
        <v>0.80309734513274322</v>
      </c>
      <c r="V22" s="89">
        <f>IF(U22=100%,U22,MAX(ROUND(U22,2),V21+1%))</f>
        <v>0.8</v>
      </c>
      <c r="W22" s="88">
        <f>IF(V22=100%,V22,IF(V$35&gt;2010%,V22-1%,IF(V$35&lt;1990%,V22+1%,V22)))</f>
        <v>0.8</v>
      </c>
      <c r="X22" s="89">
        <f t="shared" si="23"/>
        <v>7.0000000000000062E-2</v>
      </c>
      <c r="Y22" s="385">
        <f t="shared" si="10"/>
        <v>1.5299999999999999E-2</v>
      </c>
      <c r="Z22" s="385">
        <f t="shared" si="11"/>
        <v>1.8100000000000002E-2</v>
      </c>
      <c r="AA22" s="387">
        <f t="shared" si="12"/>
        <v>2.6100000000000002E-2</v>
      </c>
      <c r="AC22" s="52">
        <f t="shared" si="13"/>
        <v>7.6500000000000005E-4</v>
      </c>
      <c r="AD22" s="52">
        <f t="shared" si="14"/>
        <v>9.050000000000001E-4</v>
      </c>
      <c r="AE22" s="52">
        <f t="shared" si="15"/>
        <v>1.3050000000000002E-3</v>
      </c>
      <c r="AF22" s="52"/>
      <c r="AG22" s="128">
        <f t="shared" si="24"/>
        <v>1</v>
      </c>
      <c r="AH22" s="128">
        <f t="shared" si="25"/>
        <v>1</v>
      </c>
      <c r="AI22" s="128">
        <f t="shared" si="26"/>
        <v>1</v>
      </c>
      <c r="AJ22" s="52"/>
      <c r="AK22" s="385">
        <f t="shared" si="4"/>
        <v>1.47E-2</v>
      </c>
      <c r="AL22" s="385">
        <f t="shared" si="27"/>
        <v>1.8100000000000002E-2</v>
      </c>
      <c r="AM22" s="387">
        <f t="shared" si="5"/>
        <v>2.6100000000000002E-2</v>
      </c>
      <c r="AO22" s="52">
        <f t="shared" si="18"/>
        <v>7.3499999999999998E-4</v>
      </c>
      <c r="AP22" s="52">
        <f t="shared" si="19"/>
        <v>9.050000000000001E-4</v>
      </c>
      <c r="AQ22" s="52">
        <f t="shared" si="20"/>
        <v>1.3050000000000002E-3</v>
      </c>
      <c r="AS22" s="51">
        <f t="shared" si="28"/>
        <v>1.4000000000000002E-3</v>
      </c>
      <c r="AT22" s="51">
        <f t="shared" si="21"/>
        <v>1.6000000000000007E-3</v>
      </c>
      <c r="AU22" s="51">
        <f t="shared" si="22"/>
        <v>2.3E-3</v>
      </c>
    </row>
    <row r="23" spans="3:47" ht="21" x14ac:dyDescent="0.35">
      <c r="G23" s="49"/>
      <c r="H23" s="49"/>
      <c r="I23" s="49"/>
      <c r="J23" s="49"/>
      <c r="O23" s="383">
        <v>11</v>
      </c>
      <c r="P23" s="80">
        <v>0.05</v>
      </c>
      <c r="Q23" s="90">
        <v>0.89500000000000002</v>
      </c>
      <c r="R23" s="90">
        <v>1.0249999999999999</v>
      </c>
      <c r="S23" s="88">
        <f t="shared" si="6"/>
        <v>0</v>
      </c>
      <c r="T23" s="89">
        <f t="shared" si="7"/>
        <v>0.92920353982300885</v>
      </c>
      <c r="U23" s="89">
        <f t="shared" si="8"/>
        <v>0.87389380530973437</v>
      </c>
      <c r="V23" s="89">
        <f>IF(U23=100%,U23,MIN(ROUND(U23,2),V24-1%))</f>
        <v>0.87</v>
      </c>
      <c r="W23" s="88">
        <f>IF(V23=100%,V23,IF(V$35&gt;2009%,V23-1%,IF(V$35&lt;1991%,V23+1%,V23)))</f>
        <v>0.87</v>
      </c>
      <c r="X23" s="89">
        <f t="shared" si="23"/>
        <v>6.9999999999999951E-2</v>
      </c>
      <c r="Y23" s="385">
        <f t="shared" si="10"/>
        <v>1.66E-2</v>
      </c>
      <c r="Z23" s="385">
        <f t="shared" si="11"/>
        <v>1.9699999999999999E-2</v>
      </c>
      <c r="AA23" s="387">
        <f t="shared" si="12"/>
        <v>2.8400000000000002E-2</v>
      </c>
      <c r="AC23" s="52">
        <f t="shared" si="13"/>
        <v>8.3000000000000001E-4</v>
      </c>
      <c r="AD23" s="52">
        <f t="shared" si="14"/>
        <v>9.8499999999999998E-4</v>
      </c>
      <c r="AE23" s="52">
        <f t="shared" si="15"/>
        <v>1.4200000000000003E-3</v>
      </c>
      <c r="AF23" s="52"/>
      <c r="AG23" s="128">
        <f t="shared" si="24"/>
        <v>1</v>
      </c>
      <c r="AH23" s="128">
        <f t="shared" si="25"/>
        <v>1</v>
      </c>
      <c r="AI23" s="128">
        <f t="shared" si="26"/>
        <v>1</v>
      </c>
      <c r="AJ23" s="52"/>
      <c r="AK23" s="385">
        <f t="shared" si="4"/>
        <v>1.5900000000000001E-2</v>
      </c>
      <c r="AL23" s="385">
        <f t="shared" si="27"/>
        <v>1.9699999999999999E-2</v>
      </c>
      <c r="AM23" s="387">
        <f t="shared" si="5"/>
        <v>2.8400000000000002E-2</v>
      </c>
      <c r="AO23" s="52">
        <f t="shared" si="18"/>
        <v>7.9500000000000013E-4</v>
      </c>
      <c r="AP23" s="52">
        <f t="shared" si="19"/>
        <v>9.8499999999999998E-4</v>
      </c>
      <c r="AQ23" s="52">
        <f t="shared" si="20"/>
        <v>1.4200000000000003E-3</v>
      </c>
      <c r="AS23" s="51">
        <f t="shared" si="28"/>
        <v>1.2000000000000014E-3</v>
      </c>
      <c r="AT23" s="51">
        <f t="shared" si="21"/>
        <v>1.5999999999999973E-3</v>
      </c>
      <c r="AU23" s="51">
        <f t="shared" si="22"/>
        <v>2.3E-3</v>
      </c>
    </row>
    <row r="24" spans="3:47" ht="21" x14ac:dyDescent="0.35">
      <c r="G24" s="49"/>
      <c r="H24" s="49"/>
      <c r="I24" s="49"/>
      <c r="J24" s="49"/>
      <c r="O24" s="383">
        <v>12</v>
      </c>
      <c r="P24" s="80">
        <v>0.05</v>
      </c>
      <c r="Q24" s="90">
        <v>0.81499999999999995</v>
      </c>
      <c r="R24" s="90">
        <v>0.93500000000000005</v>
      </c>
      <c r="S24" s="88">
        <f t="shared" si="6"/>
        <v>1</v>
      </c>
      <c r="T24" s="89">
        <f t="shared" si="7"/>
        <v>1</v>
      </c>
      <c r="U24" s="89">
        <f t="shared" si="8"/>
        <v>1</v>
      </c>
      <c r="V24" s="89">
        <f>IF(U24=100%,U24,MIN(ROUND(U24,2),V25-1%))</f>
        <v>1</v>
      </c>
      <c r="W24" s="88">
        <f>IF(V24=100%,V24,IF(V$35&gt;2008%,V24-1%,IF(V$35&lt;1992%,V24+1%,V24)))</f>
        <v>1</v>
      </c>
      <c r="X24" s="89">
        <f t="shared" si="23"/>
        <v>0.13</v>
      </c>
      <c r="Y24" s="385">
        <f t="shared" si="10"/>
        <v>1.9099999999999999E-2</v>
      </c>
      <c r="Z24" s="385">
        <f t="shared" si="11"/>
        <v>2.2599999999999999E-2</v>
      </c>
      <c r="AA24" s="387">
        <f t="shared" si="12"/>
        <v>3.2599999999999997E-2</v>
      </c>
      <c r="AC24" s="52">
        <f t="shared" si="13"/>
        <v>9.5500000000000001E-4</v>
      </c>
      <c r="AD24" s="52">
        <f t="shared" si="14"/>
        <v>1.1299999999999999E-3</v>
      </c>
      <c r="AE24" s="52">
        <f t="shared" si="15"/>
        <v>1.6299999999999999E-3</v>
      </c>
      <c r="AF24" s="52"/>
      <c r="AG24" s="128">
        <f t="shared" si="24"/>
        <v>1</v>
      </c>
      <c r="AH24" s="128">
        <f t="shared" si="25"/>
        <v>1</v>
      </c>
      <c r="AI24" s="128">
        <f t="shared" si="26"/>
        <v>1</v>
      </c>
      <c r="AJ24" s="52"/>
      <c r="AK24" s="385">
        <f t="shared" si="4"/>
        <v>1.83E-2</v>
      </c>
      <c r="AL24" s="385">
        <f t="shared" si="27"/>
        <v>2.2599999999999999E-2</v>
      </c>
      <c r="AM24" s="387">
        <f t="shared" si="5"/>
        <v>3.2599999999999997E-2</v>
      </c>
      <c r="AO24" s="52">
        <f t="shared" si="18"/>
        <v>9.1500000000000001E-4</v>
      </c>
      <c r="AP24" s="52">
        <f t="shared" si="19"/>
        <v>1.1299999999999999E-3</v>
      </c>
      <c r="AQ24" s="52">
        <f t="shared" si="20"/>
        <v>1.6299999999999999E-3</v>
      </c>
      <c r="AS24" s="51">
        <f t="shared" si="28"/>
        <v>2.3999999999999994E-3</v>
      </c>
      <c r="AT24" s="51">
        <f t="shared" si="21"/>
        <v>2.8999999999999998E-3</v>
      </c>
      <c r="AU24" s="51">
        <f t="shared" si="22"/>
        <v>4.1999999999999954E-3</v>
      </c>
    </row>
    <row r="25" spans="3:47" ht="21" x14ac:dyDescent="0.35">
      <c r="G25" s="49"/>
      <c r="H25" s="49"/>
      <c r="I25" s="49"/>
      <c r="J25" s="49"/>
      <c r="O25" s="383">
        <v>13</v>
      </c>
      <c r="P25" s="80">
        <v>0.05</v>
      </c>
      <c r="Q25" s="90">
        <v>0.72499999999999998</v>
      </c>
      <c r="R25" s="90">
        <v>0.85499999999999998</v>
      </c>
      <c r="S25" s="88">
        <f t="shared" si="6"/>
        <v>1</v>
      </c>
      <c r="T25" s="89">
        <f t="shared" si="7"/>
        <v>1</v>
      </c>
      <c r="U25" s="89">
        <f t="shared" si="8"/>
        <v>1</v>
      </c>
      <c r="V25" s="89">
        <f t="shared" ref="V25:V30" si="29">IF(U25=100%,U25,MIN(ROUND(U25,2),V26-1%))</f>
        <v>1</v>
      </c>
      <c r="W25" s="88">
        <f>IF(V25=100%,V25,IF(V$35&gt;2007%,V25-1%,IF(V$35&lt;1993%,V25+1%,V25)))</f>
        <v>1</v>
      </c>
      <c r="X25" s="89">
        <f t="shared" si="23"/>
        <v>0</v>
      </c>
      <c r="Y25" s="385">
        <f t="shared" si="10"/>
        <v>1.9099999999999999E-2</v>
      </c>
      <c r="Z25" s="385">
        <f t="shared" si="11"/>
        <v>2.2599999999999999E-2</v>
      </c>
      <c r="AA25" s="387">
        <f t="shared" si="12"/>
        <v>3.2599999999999997E-2</v>
      </c>
      <c r="AC25" s="52">
        <f t="shared" si="13"/>
        <v>9.5500000000000001E-4</v>
      </c>
      <c r="AD25" s="52">
        <f t="shared" si="14"/>
        <v>1.1299999999999999E-3</v>
      </c>
      <c r="AE25" s="52">
        <f t="shared" si="15"/>
        <v>1.6299999999999999E-3</v>
      </c>
      <c r="AF25" s="52"/>
      <c r="AG25" s="128">
        <f t="shared" si="24"/>
        <v>1</v>
      </c>
      <c r="AH25" s="128">
        <f t="shared" si="25"/>
        <v>1</v>
      </c>
      <c r="AI25" s="128">
        <f t="shared" si="26"/>
        <v>1</v>
      </c>
      <c r="AJ25" s="52"/>
      <c r="AK25" s="385">
        <f t="shared" si="4"/>
        <v>1.83E-2</v>
      </c>
      <c r="AL25" s="385">
        <f t="shared" si="27"/>
        <v>2.2599999999999999E-2</v>
      </c>
      <c r="AM25" s="387">
        <f t="shared" si="5"/>
        <v>3.2599999999999997E-2</v>
      </c>
      <c r="AO25" s="52">
        <f t="shared" si="18"/>
        <v>9.1500000000000001E-4</v>
      </c>
      <c r="AP25" s="52">
        <f t="shared" si="19"/>
        <v>1.1299999999999999E-3</v>
      </c>
      <c r="AQ25" s="52">
        <f t="shared" si="20"/>
        <v>1.6299999999999999E-3</v>
      </c>
      <c r="AS25" s="51">
        <f t="shared" si="28"/>
        <v>0</v>
      </c>
      <c r="AT25" s="51">
        <f t="shared" si="21"/>
        <v>0</v>
      </c>
      <c r="AU25" s="51">
        <f t="shared" si="22"/>
        <v>0</v>
      </c>
    </row>
    <row r="26" spans="3:47" ht="21" x14ac:dyDescent="0.35">
      <c r="G26" s="49"/>
      <c r="H26" s="49"/>
      <c r="I26" s="49"/>
      <c r="J26" s="49"/>
      <c r="O26" s="383">
        <v>14</v>
      </c>
      <c r="P26" s="80">
        <v>0.05</v>
      </c>
      <c r="Q26" s="90">
        <v>0.65500000000000003</v>
      </c>
      <c r="R26" s="90">
        <v>0.76500000000000001</v>
      </c>
      <c r="S26" s="88">
        <f t="shared" si="6"/>
        <v>0</v>
      </c>
      <c r="T26" s="89">
        <f t="shared" si="7"/>
        <v>1.1984829329962075</v>
      </c>
      <c r="U26" s="89">
        <f t="shared" si="8"/>
        <v>1.143173198482933</v>
      </c>
      <c r="V26" s="89">
        <f t="shared" si="29"/>
        <v>1.1399999999999999</v>
      </c>
      <c r="W26" s="88">
        <f>IF(V26=100%,V26,IF(V$35&gt;2006%,V26-1%,IF(V$35&lt;1994%,V26+1%,V26)))</f>
        <v>1.1399999999999999</v>
      </c>
      <c r="X26" s="89">
        <f t="shared" si="23"/>
        <v>0.1399999999999999</v>
      </c>
      <c r="Y26" s="385">
        <f t="shared" si="10"/>
        <v>2.18E-2</v>
      </c>
      <c r="Z26" s="385">
        <f t="shared" si="11"/>
        <v>2.58E-2</v>
      </c>
      <c r="AA26" s="387">
        <f t="shared" si="12"/>
        <v>3.7199999999999997E-2</v>
      </c>
      <c r="AC26" s="52">
        <f t="shared" si="13"/>
        <v>1.09E-3</v>
      </c>
      <c r="AD26" s="52">
        <f t="shared" si="14"/>
        <v>1.2900000000000001E-3</v>
      </c>
      <c r="AE26" s="52">
        <f t="shared" si="15"/>
        <v>1.8599999999999999E-3</v>
      </c>
      <c r="AF26" s="52"/>
      <c r="AG26" s="128">
        <f t="shared" si="24"/>
        <v>1</v>
      </c>
      <c r="AH26" s="128">
        <f t="shared" si="25"/>
        <v>1</v>
      </c>
      <c r="AI26" s="128">
        <f t="shared" si="26"/>
        <v>1</v>
      </c>
      <c r="AJ26" s="52"/>
      <c r="AK26" s="385">
        <f t="shared" si="4"/>
        <v>2.0899999999999998E-2</v>
      </c>
      <c r="AL26" s="385">
        <f t="shared" si="27"/>
        <v>2.58E-2</v>
      </c>
      <c r="AM26" s="387">
        <f t="shared" si="5"/>
        <v>3.7199999999999997E-2</v>
      </c>
      <c r="AO26" s="52">
        <f t="shared" si="18"/>
        <v>1.0449999999999999E-3</v>
      </c>
      <c r="AP26" s="52">
        <f t="shared" si="19"/>
        <v>1.2900000000000001E-3</v>
      </c>
      <c r="AQ26" s="52">
        <f t="shared" si="20"/>
        <v>1.8599999999999999E-3</v>
      </c>
      <c r="AS26" s="51">
        <f t="shared" si="28"/>
        <v>2.5999999999999981E-3</v>
      </c>
      <c r="AT26" s="51">
        <f t="shared" si="21"/>
        <v>3.2000000000000015E-3</v>
      </c>
      <c r="AU26" s="51">
        <f t="shared" si="22"/>
        <v>4.5999999999999999E-3</v>
      </c>
    </row>
    <row r="27" spans="3:47" ht="21" x14ac:dyDescent="0.35">
      <c r="G27" s="49"/>
      <c r="H27" s="49"/>
      <c r="I27" s="49"/>
      <c r="J27" s="49"/>
      <c r="O27" s="383">
        <v>15</v>
      </c>
      <c r="P27" s="80">
        <v>0.05</v>
      </c>
      <c r="Q27" s="90">
        <v>0.49</v>
      </c>
      <c r="R27" s="90">
        <v>0.68500000000000005</v>
      </c>
      <c r="S27" s="88">
        <f t="shared" si="6"/>
        <v>0</v>
      </c>
      <c r="T27" s="89">
        <f t="shared" si="7"/>
        <v>1.3969658659924149</v>
      </c>
      <c r="U27" s="89">
        <f t="shared" si="8"/>
        <v>1.3416561314791404</v>
      </c>
      <c r="V27" s="89">
        <f t="shared" si="29"/>
        <v>1.34</v>
      </c>
      <c r="W27" s="88">
        <f>IF(V27=100%,V27,IF(V$35&gt;2005%,V27-1%,IF(V$35&lt;1995%,V27+1%,V27)))</f>
        <v>1.34</v>
      </c>
      <c r="X27" s="89">
        <f t="shared" si="23"/>
        <v>0.20000000000000018</v>
      </c>
      <c r="Y27" s="385">
        <f t="shared" si="10"/>
        <v>2.5600000000000001E-2</v>
      </c>
      <c r="Z27" s="385">
        <f t="shared" si="11"/>
        <v>3.0300000000000001E-2</v>
      </c>
      <c r="AA27" s="387">
        <f t="shared" si="12"/>
        <v>4.3700000000000003E-2</v>
      </c>
      <c r="AC27" s="52">
        <f t="shared" si="13"/>
        <v>1.2800000000000001E-3</v>
      </c>
      <c r="AD27" s="52">
        <f t="shared" si="14"/>
        <v>1.5150000000000001E-3</v>
      </c>
      <c r="AE27" s="52">
        <f t="shared" si="15"/>
        <v>2.1850000000000003E-3</v>
      </c>
      <c r="AF27" s="52"/>
      <c r="AG27" s="128">
        <f t="shared" si="24"/>
        <v>1</v>
      </c>
      <c r="AH27" s="128">
        <f t="shared" si="25"/>
        <v>1</v>
      </c>
      <c r="AI27" s="128">
        <f t="shared" si="26"/>
        <v>1</v>
      </c>
      <c r="AJ27" s="52"/>
      <c r="AK27" s="385">
        <f t="shared" si="4"/>
        <v>2.4500000000000001E-2</v>
      </c>
      <c r="AL27" s="385">
        <f t="shared" si="27"/>
        <v>3.0300000000000001E-2</v>
      </c>
      <c r="AM27" s="387">
        <f t="shared" si="5"/>
        <v>4.3700000000000003E-2</v>
      </c>
      <c r="AO27" s="52">
        <f t="shared" si="18"/>
        <v>1.2250000000000002E-3</v>
      </c>
      <c r="AP27" s="52">
        <f t="shared" si="19"/>
        <v>1.5150000000000001E-3</v>
      </c>
      <c r="AQ27" s="52">
        <f t="shared" si="20"/>
        <v>2.1850000000000003E-3</v>
      </c>
      <c r="AS27" s="51">
        <f t="shared" si="28"/>
        <v>3.6000000000000025E-3</v>
      </c>
      <c r="AT27" s="51">
        <f t="shared" si="21"/>
        <v>4.5000000000000005E-3</v>
      </c>
      <c r="AU27" s="51">
        <f t="shared" si="22"/>
        <v>6.5000000000000058E-3</v>
      </c>
    </row>
    <row r="28" spans="3:47" ht="21" x14ac:dyDescent="0.35">
      <c r="G28" s="49"/>
      <c r="H28" s="49"/>
      <c r="I28" s="49"/>
      <c r="J28" s="49"/>
      <c r="O28" s="383">
        <v>16</v>
      </c>
      <c r="P28" s="80">
        <v>0.05</v>
      </c>
      <c r="Q28" s="90">
        <v>0.4</v>
      </c>
      <c r="R28" s="90">
        <v>0.53</v>
      </c>
      <c r="S28" s="88">
        <f t="shared" si="6"/>
        <v>0</v>
      </c>
      <c r="T28" s="89">
        <f t="shared" si="7"/>
        <v>1.5954487989886224</v>
      </c>
      <c r="U28" s="89">
        <f t="shared" si="8"/>
        <v>1.5401390644753479</v>
      </c>
      <c r="V28" s="89">
        <f t="shared" si="29"/>
        <v>1.54</v>
      </c>
      <c r="W28" s="88">
        <f>IF(V28=100%,V28,IF(V$35&gt;2004%,V28-1%,IF(V$35&lt;1996%,V28+1%,V28)))</f>
        <v>1.54</v>
      </c>
      <c r="X28" s="89">
        <f t="shared" si="23"/>
        <v>0.19999999999999996</v>
      </c>
      <c r="Y28" s="385">
        <f t="shared" si="10"/>
        <v>2.9399999999999999E-2</v>
      </c>
      <c r="Z28" s="385">
        <f t="shared" si="11"/>
        <v>3.4799999999999998E-2</v>
      </c>
      <c r="AA28" s="387">
        <f t="shared" si="12"/>
        <v>5.0200000000000002E-2</v>
      </c>
      <c r="AC28" s="52">
        <f t="shared" si="13"/>
        <v>1.47E-3</v>
      </c>
      <c r="AD28" s="52">
        <f t="shared" si="14"/>
        <v>1.74E-3</v>
      </c>
      <c r="AE28" s="52">
        <f t="shared" si="15"/>
        <v>2.5100000000000001E-3</v>
      </c>
      <c r="AF28" s="52"/>
      <c r="AG28" s="128">
        <f t="shared" si="24"/>
        <v>1</v>
      </c>
      <c r="AH28" s="128">
        <f t="shared" si="25"/>
        <v>1</v>
      </c>
      <c r="AI28" s="128">
        <f t="shared" si="26"/>
        <v>1</v>
      </c>
      <c r="AJ28" s="52"/>
      <c r="AK28" s="385">
        <f t="shared" si="4"/>
        <v>2.8199999999999999E-2</v>
      </c>
      <c r="AL28" s="385">
        <f t="shared" si="27"/>
        <v>3.4799999999999998E-2</v>
      </c>
      <c r="AM28" s="387">
        <f t="shared" si="5"/>
        <v>5.0200000000000002E-2</v>
      </c>
      <c r="AO28" s="52">
        <f t="shared" si="18"/>
        <v>1.41E-3</v>
      </c>
      <c r="AP28" s="52">
        <f t="shared" si="19"/>
        <v>1.74E-3</v>
      </c>
      <c r="AQ28" s="52">
        <f t="shared" si="20"/>
        <v>2.5100000000000001E-3</v>
      </c>
      <c r="AS28" s="51">
        <f t="shared" si="28"/>
        <v>3.6999999999999984E-3</v>
      </c>
      <c r="AT28" s="51">
        <f t="shared" si="21"/>
        <v>4.4999999999999971E-3</v>
      </c>
      <c r="AU28" s="51">
        <f t="shared" si="22"/>
        <v>6.4999999999999988E-3</v>
      </c>
    </row>
    <row r="29" spans="3:47" ht="21" x14ac:dyDescent="0.35">
      <c r="G29" s="49"/>
      <c r="H29" s="49"/>
      <c r="I29" s="49"/>
      <c r="J29" s="49"/>
      <c r="K29" s="121">
        <f>D15/AVERAGE(D13:D15)</f>
        <v>0.83088235294117652</v>
      </c>
      <c r="L29" s="122"/>
      <c r="M29" s="122"/>
      <c r="O29" s="383">
        <v>17</v>
      </c>
      <c r="P29" s="80">
        <v>0.05</v>
      </c>
      <c r="Q29" s="90">
        <v>0.31</v>
      </c>
      <c r="R29" s="90">
        <v>0.435</v>
      </c>
      <c r="S29" s="88">
        <f t="shared" si="6"/>
        <v>0</v>
      </c>
      <c r="T29" s="89">
        <f t="shared" si="7"/>
        <v>1.7939317319848298</v>
      </c>
      <c r="U29" s="89">
        <f t="shared" si="8"/>
        <v>1.7386219974715553</v>
      </c>
      <c r="V29" s="89">
        <f t="shared" si="29"/>
        <v>1.74</v>
      </c>
      <c r="W29" s="88">
        <f>IF(V29=100%,V29,IF(V$35&gt;2003%,V29-1%,IF(V$35&lt;1997%,V29+1%,V29)))</f>
        <v>1.74</v>
      </c>
      <c r="X29" s="89">
        <f t="shared" si="23"/>
        <v>0.19999999999999996</v>
      </c>
      <c r="Y29" s="385">
        <f t="shared" si="10"/>
        <v>3.32E-2</v>
      </c>
      <c r="Z29" s="385">
        <f t="shared" si="11"/>
        <v>3.9300000000000002E-2</v>
      </c>
      <c r="AA29" s="387">
        <f t="shared" si="12"/>
        <v>5.67E-2</v>
      </c>
      <c r="AC29" s="52">
        <f t="shared" si="13"/>
        <v>1.66E-3</v>
      </c>
      <c r="AD29" s="52">
        <f t="shared" si="14"/>
        <v>1.9650000000000002E-3</v>
      </c>
      <c r="AE29" s="52">
        <f t="shared" si="15"/>
        <v>2.8350000000000003E-3</v>
      </c>
      <c r="AF29" s="52"/>
      <c r="AG29" s="128">
        <f t="shared" si="24"/>
        <v>1</v>
      </c>
      <c r="AH29" s="128">
        <f t="shared" si="25"/>
        <v>1</v>
      </c>
      <c r="AI29" s="128">
        <f t="shared" si="26"/>
        <v>1</v>
      </c>
      <c r="AJ29" s="52"/>
      <c r="AK29" s="385">
        <f t="shared" si="4"/>
        <v>3.1800000000000002E-2</v>
      </c>
      <c r="AL29" s="385">
        <f t="shared" si="27"/>
        <v>3.9300000000000002E-2</v>
      </c>
      <c r="AM29" s="387">
        <f t="shared" si="5"/>
        <v>5.67E-2</v>
      </c>
      <c r="AO29" s="52">
        <f t="shared" si="18"/>
        <v>1.5900000000000003E-3</v>
      </c>
      <c r="AP29" s="52">
        <f t="shared" si="19"/>
        <v>1.9650000000000002E-3</v>
      </c>
      <c r="AQ29" s="52">
        <f t="shared" si="20"/>
        <v>2.8350000000000003E-3</v>
      </c>
      <c r="AS29" s="51">
        <f t="shared" si="28"/>
        <v>3.6000000000000025E-3</v>
      </c>
      <c r="AT29" s="51">
        <f t="shared" si="21"/>
        <v>4.500000000000004E-3</v>
      </c>
      <c r="AU29" s="51">
        <f t="shared" si="22"/>
        <v>6.4999999999999988E-3</v>
      </c>
    </row>
    <row r="30" spans="3:47" ht="21" x14ac:dyDescent="0.35">
      <c r="G30" s="49"/>
      <c r="H30" s="49"/>
      <c r="I30" s="49"/>
      <c r="J30" s="49"/>
      <c r="K30" s="123"/>
      <c r="L30" s="123"/>
      <c r="M30" s="123"/>
      <c r="O30" s="383">
        <v>18</v>
      </c>
      <c r="P30" s="80">
        <v>0.05</v>
      </c>
      <c r="Q30" s="90">
        <v>0.30499999999999999</v>
      </c>
      <c r="R30" s="90">
        <v>0.34</v>
      </c>
      <c r="S30" s="88">
        <f t="shared" si="6"/>
        <v>0</v>
      </c>
      <c r="T30" s="89">
        <f t="shared" si="7"/>
        <v>1.9924146649810373</v>
      </c>
      <c r="U30" s="89">
        <f t="shared" si="8"/>
        <v>1.9371049304677628</v>
      </c>
      <c r="V30" s="89">
        <f t="shared" si="29"/>
        <v>1.94</v>
      </c>
      <c r="W30" s="88">
        <f>IF(V30=100%,V30,IF(V$35&gt;2002%,V30-1%,IF(V$35&lt;1998%,V30+1%,V30)))</f>
        <v>1.94</v>
      </c>
      <c r="X30" s="89">
        <f t="shared" si="23"/>
        <v>0.19999999999999996</v>
      </c>
      <c r="Y30" s="385">
        <f t="shared" si="10"/>
        <v>3.7100000000000001E-2</v>
      </c>
      <c r="Z30" s="385">
        <f t="shared" si="11"/>
        <v>4.3799999999999999E-2</v>
      </c>
      <c r="AA30" s="387">
        <f t="shared" si="12"/>
        <v>6.3200000000000006E-2</v>
      </c>
      <c r="AC30" s="52">
        <f t="shared" si="13"/>
        <v>1.8550000000000001E-3</v>
      </c>
      <c r="AD30" s="52">
        <f t="shared" si="14"/>
        <v>2.1900000000000001E-3</v>
      </c>
      <c r="AE30" s="52">
        <f t="shared" si="15"/>
        <v>3.1600000000000005E-3</v>
      </c>
      <c r="AF30" s="52"/>
      <c r="AG30" s="128">
        <f t="shared" si="24"/>
        <v>1</v>
      </c>
      <c r="AH30" s="128">
        <f t="shared" si="25"/>
        <v>1</v>
      </c>
      <c r="AI30" s="128">
        <f t="shared" si="26"/>
        <v>1</v>
      </c>
      <c r="AJ30" s="52"/>
      <c r="AK30" s="385">
        <f t="shared" si="4"/>
        <v>3.5499999999999997E-2</v>
      </c>
      <c r="AL30" s="385">
        <f t="shared" si="27"/>
        <v>4.3799999999999999E-2</v>
      </c>
      <c r="AM30" s="387">
        <f t="shared" si="5"/>
        <v>6.3200000000000006E-2</v>
      </c>
      <c r="AO30" s="52">
        <f t="shared" si="18"/>
        <v>1.7749999999999999E-3</v>
      </c>
      <c r="AP30" s="52">
        <f t="shared" si="19"/>
        <v>2.1900000000000001E-3</v>
      </c>
      <c r="AQ30" s="52">
        <f t="shared" si="20"/>
        <v>3.1600000000000005E-3</v>
      </c>
      <c r="AS30" s="51">
        <f t="shared" si="28"/>
        <v>3.699999999999995E-3</v>
      </c>
      <c r="AT30" s="51">
        <f t="shared" si="21"/>
        <v>4.4999999999999971E-3</v>
      </c>
      <c r="AU30" s="51">
        <f t="shared" si="22"/>
        <v>6.5000000000000058E-3</v>
      </c>
    </row>
    <row r="31" spans="3:47" ht="21" x14ac:dyDescent="0.35">
      <c r="G31" s="49"/>
      <c r="H31" s="49"/>
      <c r="I31" s="49"/>
      <c r="J31" s="49"/>
      <c r="K31" s="124">
        <f>18-S35</f>
        <v>16</v>
      </c>
      <c r="L31" s="124"/>
      <c r="M31" s="123"/>
      <c r="O31" s="383">
        <v>19</v>
      </c>
      <c r="P31" s="80">
        <v>0.05</v>
      </c>
      <c r="Q31" s="90"/>
      <c r="R31" s="90"/>
      <c r="S31" s="88">
        <v>0</v>
      </c>
      <c r="T31" s="89">
        <f t="shared" si="7"/>
        <v>2.1908975979772447</v>
      </c>
      <c r="U31" s="89">
        <f t="shared" si="8"/>
        <v>2.1355878634639702</v>
      </c>
      <c r="V31" s="89">
        <f>IF(U31=100%,U31,MIN(ROUND(U31,2),V32-1%,TRUNC(T32-1%,2)))</f>
        <v>2.14</v>
      </c>
      <c r="W31" s="88">
        <f>IF(V31=100%,V31,IF(V$35&gt;2001%,V31-1%,IF(V$35&lt;1999%,V31+1%,V31)))</f>
        <v>2.14</v>
      </c>
      <c r="X31" s="89">
        <f t="shared" si="23"/>
        <v>0.20000000000000018</v>
      </c>
      <c r="Y31" s="385">
        <f>MAX(ROUND($W31*Y$34,4),Y32-$Y$38)</f>
        <v>4.5000000000000005E-2</v>
      </c>
      <c r="Z31" s="385">
        <f t="shared" si="11"/>
        <v>4.8399999999999999E-2</v>
      </c>
      <c r="AA31" s="387">
        <f t="shared" si="12"/>
        <v>6.9800000000000001E-2</v>
      </c>
      <c r="AC31" s="52">
        <f t="shared" si="13"/>
        <v>2.2500000000000003E-3</v>
      </c>
      <c r="AD31" s="52">
        <f t="shared" si="14"/>
        <v>2.4200000000000003E-3</v>
      </c>
      <c r="AE31" s="52">
        <f t="shared" si="15"/>
        <v>3.49E-3</v>
      </c>
      <c r="AF31" s="52"/>
      <c r="AG31" s="128">
        <f t="shared" si="24"/>
        <v>0</v>
      </c>
      <c r="AH31" s="128">
        <f t="shared" si="25"/>
        <v>1</v>
      </c>
      <c r="AI31" s="128">
        <f>IF(AND(AA32-AA31&lt;$Y$38,AI30=1),1,0)</f>
        <v>1</v>
      </c>
      <c r="AJ31" s="52"/>
      <c r="AK31" s="385">
        <f t="shared" si="4"/>
        <v>4.5000000000000005E-2</v>
      </c>
      <c r="AL31" s="385">
        <f t="shared" si="27"/>
        <v>4.8399999999999999E-2</v>
      </c>
      <c r="AM31" s="387">
        <f t="shared" si="5"/>
        <v>6.9800000000000001E-2</v>
      </c>
      <c r="AO31" s="52">
        <f t="shared" si="18"/>
        <v>2.2500000000000003E-3</v>
      </c>
      <c r="AP31" s="52">
        <f t="shared" si="19"/>
        <v>2.4200000000000003E-3</v>
      </c>
      <c r="AQ31" s="52">
        <f t="shared" si="20"/>
        <v>3.49E-3</v>
      </c>
      <c r="AS31" s="51">
        <f t="shared" si="28"/>
        <v>9.5000000000000084E-3</v>
      </c>
      <c r="AT31" s="51">
        <f t="shared" si="21"/>
        <v>4.5999999999999999E-3</v>
      </c>
      <c r="AU31" s="51">
        <f t="shared" si="22"/>
        <v>6.5999999999999948E-3</v>
      </c>
    </row>
    <row r="32" spans="3:47" ht="21" x14ac:dyDescent="0.35">
      <c r="G32" s="49"/>
      <c r="H32" s="49"/>
      <c r="I32" s="49"/>
      <c r="J32" s="49"/>
      <c r="K32" s="122">
        <f>T34/K31</f>
        <v>-5.5309734513274478E-2</v>
      </c>
      <c r="L32" s="122"/>
      <c r="M32" s="123"/>
      <c r="O32" s="383">
        <v>20</v>
      </c>
      <c r="P32" s="80">
        <v>0.05</v>
      </c>
      <c r="Q32" s="88"/>
      <c r="R32" s="88"/>
      <c r="S32" s="88"/>
      <c r="T32" s="89">
        <f>Z32/D15</f>
        <v>2.3893805309734515</v>
      </c>
      <c r="U32" s="89">
        <f>T32</f>
        <v>2.3893805309734515</v>
      </c>
      <c r="V32" s="89">
        <f t="shared" si="0"/>
        <v>2.39</v>
      </c>
      <c r="W32" s="88">
        <f>IF(V32=100%,V32,IF(V$35&gt;2000%,V32-1%,IF(V$35&lt;2000%,V32+1%,V32)))</f>
        <v>2.39</v>
      </c>
      <c r="X32" s="89">
        <f t="shared" si="23"/>
        <v>0.25</v>
      </c>
      <c r="Y32" s="385">
        <f>MAX(ROUND($W32*Y$34,4),5.4%)</f>
        <v>5.4000000000000006E-2</v>
      </c>
      <c r="Z32" s="386">
        <f>D14</f>
        <v>5.3999999999999999E-2</v>
      </c>
      <c r="AA32" s="387">
        <f>MAX(ROUND($W32*AA$34,4),5.4%)</f>
        <v>7.7899999999999997E-2</v>
      </c>
      <c r="AC32" s="52">
        <f t="shared" si="13"/>
        <v>2.7000000000000006E-3</v>
      </c>
      <c r="AD32" s="52">
        <f t="shared" si="14"/>
        <v>2.7000000000000001E-3</v>
      </c>
      <c r="AE32" s="52">
        <f t="shared" si="15"/>
        <v>3.895E-3</v>
      </c>
      <c r="AF32" s="52"/>
      <c r="AG32" s="126">
        <v>0</v>
      </c>
      <c r="AH32" s="126">
        <v>0</v>
      </c>
      <c r="AI32" s="126">
        <v>0</v>
      </c>
      <c r="AJ32" s="52"/>
      <c r="AK32" s="385">
        <f t="shared" ref="AK32" si="30">IF(AND(Y$35&gt;Y$34,AG32=1),ROUND(Y32*(AG$37/AG$35),4),Y32)</f>
        <v>5.4000000000000006E-2</v>
      </c>
      <c r="AL32" s="386">
        <f>D14</f>
        <v>5.3999999999999999E-2</v>
      </c>
      <c r="AM32" s="387">
        <f t="shared" ref="AM32" si="31">IF(AND(AA$35&gt;AA$34,AI32=1),ROUND(AA32*(AI$37/AI$35),4),AA32)</f>
        <v>7.7899999999999997E-2</v>
      </c>
      <c r="AO32" s="52">
        <f t="shared" si="18"/>
        <v>2.7000000000000006E-3</v>
      </c>
      <c r="AP32" s="52">
        <f t="shared" si="19"/>
        <v>2.7000000000000001E-3</v>
      </c>
      <c r="AQ32" s="52">
        <f t="shared" si="20"/>
        <v>3.895E-3</v>
      </c>
      <c r="AS32" s="51">
        <f t="shared" si="28"/>
        <v>9.0000000000000011E-3</v>
      </c>
      <c r="AT32" s="51">
        <f t="shared" si="21"/>
        <v>5.6000000000000008E-3</v>
      </c>
      <c r="AU32" s="51">
        <f t="shared" si="22"/>
        <v>8.0999999999999961E-3</v>
      </c>
    </row>
    <row r="33" spans="7:47" ht="30.75" customHeight="1" x14ac:dyDescent="0.3">
      <c r="G33" s="49"/>
      <c r="H33" s="49"/>
      <c r="I33" s="49"/>
      <c r="J33" s="49"/>
      <c r="K33" s="122"/>
      <c r="L33" s="123"/>
      <c r="M33" s="123"/>
      <c r="O33" s="91"/>
      <c r="P33" s="79"/>
      <c r="Q33" s="81"/>
      <c r="R33" s="81"/>
      <c r="S33" s="81"/>
      <c r="T33" s="81"/>
      <c r="U33" s="81"/>
      <c r="V33" s="81"/>
      <c r="W33" s="81"/>
      <c r="X33" s="81"/>
      <c r="Y33" s="92"/>
      <c r="Z33" s="92"/>
      <c r="AA33" s="93"/>
      <c r="AK33" s="92"/>
      <c r="AL33" s="92"/>
      <c r="AM33" s="93"/>
    </row>
    <row r="34" spans="7:47" ht="18.75" x14ac:dyDescent="0.3">
      <c r="G34" s="49"/>
      <c r="H34" s="49"/>
      <c r="I34" s="49"/>
      <c r="J34" s="49"/>
      <c r="K34" s="125">
        <f>100%-T13</f>
        <v>0.77876106194690264</v>
      </c>
      <c r="L34" s="123">
        <f>IF(AND(S14=100%,S13&lt;&gt;100%),1,IF(AND(S15=100%,S14&lt;&gt;100%),2,IF(AND(S16=100%,S15&lt;&gt;100%),3,IF(AND(S17=100%,S16&lt;&gt;100%),4,IF(AND(S18=100%,S17&lt;&gt;100%),5,IF(AND(S19=100%,S18&lt;&gt;100%),6,IF(AND(S20=100%,S19&lt;&gt;100%),7,IF(AND(S21=100%,S20&lt;&gt;100%),8,IF(AND(S22=100%,S21&lt;&gt;100%),9,IF(AND(S23=100%,S22&lt;&gt;100%),10,IF(AND(S24=100%,S23&lt;&gt;100%),11,IF(AND(S25=100%,S24&lt;&gt;100%),12,IF(AND(S26=100%,S25&lt;&gt;100%),13,IF(AND(S27=100%,S26&lt;&gt;100%),14,IF(AND(S28=100%,S27&lt;&gt;100%),15,IF(AND(S29=100%,S28&lt;&gt;100%),16,IF(AND(S30=100%,S29&lt;&gt;100%),17,IF(AND(S31=100%,S30&lt;&gt;100%),18,99))))))))))))))))))</f>
        <v>11</v>
      </c>
      <c r="M34" s="123">
        <f>K34/L34</f>
        <v>7.0796460176991149E-2</v>
      </c>
      <c r="O34" s="91"/>
      <c r="P34" s="79"/>
      <c r="Q34" s="81"/>
      <c r="R34" s="81"/>
      <c r="S34" s="81"/>
      <c r="T34" s="89">
        <f>2000%-T35</f>
        <v>-0.88495575221239164</v>
      </c>
      <c r="U34" s="89"/>
      <c r="V34" s="88"/>
      <c r="W34" s="94" t="s">
        <v>303</v>
      </c>
      <c r="X34" s="81"/>
      <c r="Y34" s="95">
        <f>E15</f>
        <v>1.9099999999999999E-2</v>
      </c>
      <c r="Z34" s="95">
        <f>D15</f>
        <v>2.2599999999999999E-2</v>
      </c>
      <c r="AA34" s="96">
        <f>F15</f>
        <v>3.2599999999999997E-2</v>
      </c>
      <c r="AG34" s="51">
        <f>Y34</f>
        <v>1.9099999999999999E-2</v>
      </c>
      <c r="AH34" s="51">
        <f t="shared" ref="AH34:AI34" si="32">Z34</f>
        <v>2.2599999999999999E-2</v>
      </c>
      <c r="AI34" s="51">
        <f t="shared" si="32"/>
        <v>3.2599999999999997E-2</v>
      </c>
      <c r="AK34" s="95">
        <f>Y34</f>
        <v>1.9099999999999999E-2</v>
      </c>
      <c r="AL34" s="95">
        <f t="shared" ref="AL34:AM34" si="33">Z34</f>
        <v>2.2599999999999999E-2</v>
      </c>
      <c r="AM34" s="96">
        <f t="shared" si="33"/>
        <v>3.2599999999999997E-2</v>
      </c>
      <c r="AS34" s="51">
        <f>MAX(AS14:AS32)</f>
        <v>9.5000000000000084E-3</v>
      </c>
      <c r="AT34" s="51">
        <f t="shared" ref="AT34:AU34" si="34">MAX(AT14:AT32)</f>
        <v>5.6000000000000008E-3</v>
      </c>
      <c r="AU34" s="51">
        <f t="shared" si="34"/>
        <v>8.0999999999999961E-3</v>
      </c>
    </row>
    <row r="35" spans="7:47" ht="19.5" thickBot="1" x14ac:dyDescent="0.35">
      <c r="G35" s="49"/>
      <c r="H35" s="49"/>
      <c r="I35" s="49"/>
      <c r="J35" s="49"/>
      <c r="K35" s="125">
        <f>T32-100%</f>
        <v>1.3893805309734515</v>
      </c>
      <c r="L35" s="123">
        <f>IF(AND(S14=100%,S15&lt;&gt;100%),18,IF(AND(S15=100%,S16&lt;&gt;100%),17,IF(AND(S16=100%,S17&lt;&gt;100%),16,IF(AND(S17=100%,S18&lt;&gt;100%),15,IF(AND(S18=100%,S19&lt;&gt;100%),14,IF(AND(S19=100%,S20&lt;&gt;100%),13,IF(AND(S20=100%,S21&lt;&gt;100%),12,IF(AND(S21=100%,S22&lt;&gt;100%),11,IF(AND(S22=100%,S23&lt;&gt;100%),10,IF(AND(S23=100%,S24&lt;&gt;100%),9,IF(AND(S24=100%,S25&lt;&gt;100%),8,IF(AND(S25=100%,S26&lt;&gt;100%),7,IF(AND(S26=100%,S27&lt;&gt;100%),6,IF(AND(S27=100%,S28&lt;&gt;100%),5,IF(AND(S28=100%,S29&lt;&gt;100%),4,IF(AND(S29=100%,S30&lt;&gt;100%),3,IF(AND(S30=100%,S31&lt;&gt;100%),2,IF(AND(S31=100%,S32&lt;&gt;100%),1,99))))))))))))))))))</f>
        <v>7</v>
      </c>
      <c r="M35" s="123">
        <f>K35/L35</f>
        <v>0.19848293299620737</v>
      </c>
      <c r="O35" s="97"/>
      <c r="P35" s="98"/>
      <c r="Q35" s="99"/>
      <c r="R35" s="99"/>
      <c r="S35" s="99">
        <f>SUM(S13:S32)</f>
        <v>2</v>
      </c>
      <c r="T35" s="100">
        <f>SUM(T13:T32)</f>
        <v>20.884955752212392</v>
      </c>
      <c r="U35" s="100">
        <f>SUM(U13:U32)</f>
        <v>20</v>
      </c>
      <c r="V35" s="100">
        <f>SUM(V13:V32)</f>
        <v>20</v>
      </c>
      <c r="W35" s="101" t="s">
        <v>304</v>
      </c>
      <c r="X35" s="133"/>
      <c r="Y35" s="102">
        <f>SUM(AC13:AC32)</f>
        <v>1.9724999999999999E-2</v>
      </c>
      <c r="Z35" s="102">
        <f t="shared" ref="Z35:AA35" si="35">SUM(AD13:AD32)</f>
        <v>2.2605E-2</v>
      </c>
      <c r="AA35" s="103">
        <f t="shared" si="35"/>
        <v>3.2605000000000002E-2</v>
      </c>
      <c r="AG35" s="51">
        <f>SUMIF(AG13:AG32,"=1",AC13:AC32)</f>
        <v>1.4775E-2</v>
      </c>
      <c r="AH35" s="51">
        <f t="shared" ref="AH35:AI35" si="36">SUMIF(AH13:AH32,"=1",AD13:AD32)</f>
        <v>1.9904999999999999E-2</v>
      </c>
      <c r="AI35" s="51">
        <f t="shared" si="36"/>
        <v>2.8709999999999999E-2</v>
      </c>
      <c r="AK35" s="102">
        <f>SUM(AO13:AO32)</f>
        <v>1.9105E-2</v>
      </c>
      <c r="AL35" s="102">
        <f t="shared" ref="AL35" si="37">SUM(AP13:AP32)</f>
        <v>2.2605E-2</v>
      </c>
      <c r="AM35" s="103">
        <f t="shared" ref="AM35" si="38">SUM(AQ13:AQ32)</f>
        <v>3.2605000000000002E-2</v>
      </c>
    </row>
    <row r="36" spans="7:47" hidden="1" x14ac:dyDescent="0.25">
      <c r="G36" s="49"/>
      <c r="H36" s="49"/>
      <c r="I36" s="49"/>
      <c r="J36" s="49"/>
      <c r="O36" s="49"/>
      <c r="AG36" s="51">
        <f>SUMIF(AG13:AG32,"=0",AC13:AC32)</f>
        <v>4.9500000000000013E-3</v>
      </c>
      <c r="AH36" s="51">
        <f t="shared" ref="AH36:AI36" si="39">SUMIF(AH13:AH32,"=0",AD13:AD32)</f>
        <v>2.7000000000000001E-3</v>
      </c>
      <c r="AI36" s="51">
        <f t="shared" si="39"/>
        <v>3.895E-3</v>
      </c>
    </row>
    <row r="37" spans="7:47" hidden="1" x14ac:dyDescent="0.25">
      <c r="G37" s="49"/>
      <c r="H37" s="49"/>
      <c r="I37" s="49"/>
      <c r="J37" s="49"/>
      <c r="L37" s="54"/>
      <c r="M37" s="54"/>
      <c r="O37" s="54"/>
      <c r="AG37" s="51">
        <f>AG34-AG36</f>
        <v>1.4149999999999998E-2</v>
      </c>
      <c r="AH37" s="51">
        <f t="shared" ref="AH37:AI37" si="40">AH34-AH36</f>
        <v>1.9899999999999998E-2</v>
      </c>
      <c r="AI37" s="51">
        <f t="shared" si="40"/>
        <v>2.8704999999999998E-2</v>
      </c>
    </row>
    <row r="38" spans="7:47" hidden="1" x14ac:dyDescent="0.25">
      <c r="G38" s="49"/>
      <c r="H38" s="49"/>
      <c r="I38" s="49"/>
      <c r="J38" s="49"/>
      <c r="Y38" s="122">
        <v>8.9999999999999993E-3</v>
      </c>
      <c r="Z38" s="50" t="s">
        <v>320</v>
      </c>
      <c r="AC38" s="127"/>
      <c r="AK38" s="122">
        <v>1E-3</v>
      </c>
      <c r="AL38" s="50" t="s">
        <v>321</v>
      </c>
    </row>
    <row r="39" spans="7:47" hidden="1" x14ac:dyDescent="0.25"/>
    <row r="40" spans="7:47" hidden="1" x14ac:dyDescent="0.25"/>
    <row r="41" spans="7:47" hidden="1" x14ac:dyDescent="0.25"/>
  </sheetData>
  <sheetProtection password="CA8F" sheet="1" objects="1" scenarios="1" selectLockedCells="1"/>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L31"/>
  <sheetViews>
    <sheetView topLeftCell="A7" workbookViewId="0">
      <selection activeCell="H10" sqref="H10"/>
    </sheetView>
  </sheetViews>
  <sheetFormatPr defaultRowHeight="15" x14ac:dyDescent="0.25"/>
  <cols>
    <col min="1" max="1" width="9.140625" style="50"/>
    <col min="2" max="10" width="10.85546875" style="50" customWidth="1"/>
    <col min="11" max="16384" width="9.140625" style="50"/>
  </cols>
  <sheetData>
    <row r="1" spans="2:12" ht="15.75" thickBot="1" x14ac:dyDescent="0.3"/>
    <row r="2" spans="2:12" ht="28.5" customHeight="1" thickTop="1" x14ac:dyDescent="0.5">
      <c r="B2" s="268"/>
      <c r="C2" s="269" t="s">
        <v>181</v>
      </c>
      <c r="D2" s="270"/>
      <c r="E2" s="271"/>
      <c r="F2" s="271"/>
      <c r="G2" s="271"/>
      <c r="H2" s="271"/>
      <c r="I2" s="271"/>
      <c r="J2" s="271"/>
      <c r="K2" s="271"/>
      <c r="L2" s="272"/>
    </row>
    <row r="3" spans="2:12" ht="18.75" x14ac:dyDescent="0.3">
      <c r="B3" s="273" t="s">
        <v>308</v>
      </c>
      <c r="C3" s="274"/>
      <c r="D3" s="275"/>
      <c r="E3" s="276"/>
      <c r="F3" s="276"/>
      <c r="G3" s="276"/>
      <c r="H3" s="276"/>
      <c r="I3" s="276"/>
      <c r="J3" s="276"/>
      <c r="K3" s="276"/>
      <c r="L3" s="277"/>
    </row>
    <row r="4" spans="2:12" ht="18.75" customHeight="1" x14ac:dyDescent="0.35">
      <c r="B4" s="273" t="s">
        <v>310</v>
      </c>
      <c r="C4" s="278"/>
      <c r="D4" s="275"/>
      <c r="E4" s="276"/>
      <c r="F4" s="276"/>
      <c r="G4" s="276"/>
      <c r="H4" s="276"/>
      <c r="I4" s="276"/>
      <c r="J4" s="276"/>
      <c r="K4" s="276"/>
      <c r="L4" s="277"/>
    </row>
    <row r="5" spans="2:12" ht="18.75" customHeight="1" x14ac:dyDescent="0.35">
      <c r="B5" s="273" t="s">
        <v>311</v>
      </c>
      <c r="C5" s="278"/>
      <c r="D5" s="275"/>
      <c r="E5" s="276"/>
      <c r="F5" s="276"/>
      <c r="G5" s="276"/>
      <c r="H5" s="276"/>
      <c r="I5" s="276"/>
      <c r="J5" s="276"/>
      <c r="K5" s="276"/>
      <c r="L5" s="277"/>
    </row>
    <row r="6" spans="2:12" ht="18.75" x14ac:dyDescent="0.3">
      <c r="B6" s="273" t="s">
        <v>309</v>
      </c>
      <c r="C6" s="275"/>
      <c r="D6" s="275"/>
      <c r="E6" s="275"/>
      <c r="F6" s="275"/>
      <c r="G6" s="275"/>
      <c r="H6" s="275"/>
      <c r="I6" s="275"/>
      <c r="J6" s="275"/>
      <c r="K6" s="279"/>
      <c r="L6" s="280"/>
    </row>
    <row r="7" spans="2:12" ht="18.75" x14ac:dyDescent="0.3">
      <c r="B7" s="273" t="s">
        <v>312</v>
      </c>
      <c r="C7" s="281"/>
      <c r="D7" s="281"/>
      <c r="E7" s="281"/>
      <c r="F7" s="275"/>
      <c r="G7" s="282"/>
      <c r="H7" s="282"/>
      <c r="I7" s="275"/>
      <c r="J7" s="275"/>
      <c r="K7" s="279"/>
      <c r="L7" s="280"/>
    </row>
    <row r="8" spans="2:12" ht="18.75" x14ac:dyDescent="0.3">
      <c r="B8" s="273"/>
      <c r="C8" s="281"/>
      <c r="D8" s="281"/>
      <c r="E8" s="281"/>
      <c r="F8" s="275"/>
      <c r="G8" s="282"/>
      <c r="H8" s="282"/>
      <c r="I8" s="275"/>
      <c r="J8" s="275"/>
      <c r="K8" s="279"/>
      <c r="L8" s="280"/>
    </row>
    <row r="9" spans="2:12" ht="21.75" thickBot="1" x14ac:dyDescent="0.4">
      <c r="B9" s="283" t="s">
        <v>137</v>
      </c>
      <c r="C9" s="284"/>
      <c r="D9" s="285"/>
      <c r="E9" s="286"/>
      <c r="F9" s="287"/>
      <c r="G9" s="288"/>
      <c r="H9" s="289"/>
      <c r="I9" s="289"/>
      <c r="J9" s="289"/>
      <c r="K9" s="289"/>
      <c r="L9" s="290"/>
    </row>
    <row r="10" spans="2:12" ht="22.5" thickTop="1" thickBot="1" x14ac:dyDescent="0.4">
      <c r="B10" s="291"/>
      <c r="C10" s="284"/>
      <c r="D10" s="46"/>
      <c r="E10" s="46"/>
      <c r="F10" s="287"/>
      <c r="G10" s="292" t="s">
        <v>306</v>
      </c>
      <c r="H10" s="119">
        <v>0</v>
      </c>
      <c r="I10" s="287"/>
      <c r="J10" s="287"/>
      <c r="K10" s="289"/>
      <c r="L10" s="290"/>
    </row>
    <row r="11" spans="2:12" ht="22.5" thickTop="1" thickBot="1" x14ac:dyDescent="0.4">
      <c r="B11" s="291"/>
      <c r="C11" s="284"/>
      <c r="D11" s="46"/>
      <c r="E11" s="46"/>
      <c r="F11" s="287"/>
      <c r="G11" s="293" t="s">
        <v>307</v>
      </c>
      <c r="H11" s="120">
        <v>0.02</v>
      </c>
      <c r="I11" s="287"/>
      <c r="J11" s="287"/>
      <c r="K11" s="289"/>
      <c r="L11" s="290"/>
    </row>
    <row r="12" spans="2:12" ht="19.5" thickTop="1" x14ac:dyDescent="0.3">
      <c r="B12" s="294"/>
      <c r="C12" s="295"/>
      <c r="D12" s="296"/>
      <c r="E12" s="287"/>
      <c r="F12" s="287"/>
      <c r="G12" s="11"/>
      <c r="H12" s="289"/>
      <c r="I12" s="289"/>
      <c r="J12" s="289"/>
      <c r="K12" s="289"/>
      <c r="L12" s="290"/>
    </row>
    <row r="13" spans="2:12" ht="30" customHeight="1" x14ac:dyDescent="0.45">
      <c r="B13" s="297"/>
      <c r="C13" s="298"/>
      <c r="D13" s="298"/>
      <c r="E13" s="299" t="s">
        <v>184</v>
      </c>
      <c r="F13" s="300"/>
      <c r="G13" s="301"/>
      <c r="H13" s="302"/>
      <c r="I13" s="302"/>
      <c r="J13" s="302"/>
      <c r="K13" s="302"/>
      <c r="L13" s="303"/>
    </row>
    <row r="14" spans="2:12" ht="15.75" x14ac:dyDescent="0.25">
      <c r="B14" s="304"/>
      <c r="C14" s="305" t="s">
        <v>155</v>
      </c>
      <c r="D14" s="301"/>
      <c r="E14" s="305"/>
      <c r="F14" s="306"/>
      <c r="G14" s="305"/>
      <c r="H14" s="305"/>
      <c r="I14" s="307"/>
      <c r="J14" s="307"/>
      <c r="K14" s="302"/>
      <c r="L14" s="308"/>
    </row>
    <row r="15" spans="2:12" ht="15.75" x14ac:dyDescent="0.25">
      <c r="B15" s="304"/>
      <c r="C15" s="305" t="s">
        <v>335</v>
      </c>
      <c r="D15" s="305"/>
      <c r="E15" s="305"/>
      <c r="F15" s="309" t="s">
        <v>246</v>
      </c>
      <c r="G15" s="310"/>
      <c r="H15" s="310"/>
      <c r="I15" s="307"/>
      <c r="J15" s="307"/>
      <c r="K15" s="302"/>
      <c r="L15" s="308"/>
    </row>
    <row r="16" spans="2:12" ht="15.75" x14ac:dyDescent="0.25">
      <c r="B16" s="304"/>
      <c r="C16" s="305" t="s">
        <v>247</v>
      </c>
      <c r="D16" s="305" t="s">
        <v>155</v>
      </c>
      <c r="E16" s="305" t="s">
        <v>134</v>
      </c>
      <c r="F16" s="301"/>
      <c r="G16" s="305"/>
      <c r="H16" s="305" t="s">
        <v>156</v>
      </c>
      <c r="I16" s="307" t="s">
        <v>156</v>
      </c>
      <c r="J16" s="307"/>
      <c r="K16" s="302"/>
      <c r="L16" s="308"/>
    </row>
    <row r="17" spans="2:12" ht="15.75" x14ac:dyDescent="0.25">
      <c r="B17" s="304"/>
      <c r="C17" s="311" t="s">
        <v>248</v>
      </c>
      <c r="D17" s="312" t="s">
        <v>157</v>
      </c>
      <c r="E17" s="311" t="s">
        <v>182</v>
      </c>
      <c r="F17" s="311" t="s">
        <v>158</v>
      </c>
      <c r="G17" s="311" t="s">
        <v>159</v>
      </c>
      <c r="H17" s="311" t="s">
        <v>245</v>
      </c>
      <c r="I17" s="312" t="s">
        <v>157</v>
      </c>
      <c r="J17" s="312"/>
      <c r="K17" s="302"/>
      <c r="L17" s="308"/>
    </row>
    <row r="18" spans="2:12" ht="15.75" x14ac:dyDescent="0.25">
      <c r="B18" s="313" t="s">
        <v>160</v>
      </c>
      <c r="C18" s="314"/>
      <c r="D18" s="315"/>
      <c r="E18" s="305"/>
      <c r="F18" s="314"/>
      <c r="G18" s="314"/>
      <c r="H18" s="314">
        <f>I18*'Step 2-3 Avg Rate and Trig Calc'!$K$54</f>
        <v>0</v>
      </c>
      <c r="I18" s="316">
        <f>H10</f>
        <v>0</v>
      </c>
      <c r="J18" s="316"/>
      <c r="K18" s="317"/>
      <c r="L18" s="303"/>
    </row>
    <row r="19" spans="2:12" ht="15.75" x14ac:dyDescent="0.25">
      <c r="B19" s="313" t="s">
        <v>161</v>
      </c>
      <c r="C19" s="314">
        <f t="shared" ref="C19:C28" si="0">H18</f>
        <v>0</v>
      </c>
      <c r="D19" s="315">
        <f t="shared" ref="D19:D28" si="1">I18</f>
        <v>0</v>
      </c>
      <c r="E19" s="305" t="str">
        <f>IF(D19&gt;='Step 2-3 Avg Rate and Trig Calc'!E$62,'Step 2-3 Avg Rate and Trig Calc'!D$60,IF(D19&gt;='Step 2-3 Avg Rate and Trig Calc'!F$62,'Step 2-3 Avg Rate and Trig Calc'!E$60,IF(OR(D19&gt;='Step 2-3 Avg Rate and Trig Calc'!G$62,'Step 2-3 Avg Rate and Trig Calc'!G$62=""),'Step 2-3 Avg Rate and Trig Calc'!F$60,IF(OR(D19&gt;='Step 2-3 Avg Rate and Trig Calc'!H$62,'Step 2-3 Avg Rate and Trig Calc'!H$62=""),'Step 2-3 Avg Rate and Trig Calc'!G$60,IF(OR(D19&gt;='Step 2-3 Avg Rate and Trig Calc'!I$62,'Step 2-3 Avg Rate and Trig Calc'!I$62=""),'Step 2-3 Avg Rate and Trig Calc'!H$60,IF(OR(D19&gt;='Step 2-3 Avg Rate and Trig Calc'!J$62,'Step 2-3 Avg Rate and Trig Calc'!J$62=""),'Step 2-3 Avg Rate and Trig Calc'!I$60,IF(OR(D19&gt;='Step 2-3 Avg Rate and Trig Calc'!K$62,'Step 2-3 Avg Rate and Trig Calc'!K$62=""),'Step 2-3 Avg Rate and Trig Calc'!J$60,IF(OR(D19&gt;='Step 2-3 Avg Rate and Trig Calc'!L$62,'Step 2-3 Avg Rate and Trig Calc'!L$62=""),'Step 2-3 Avg Rate and Trig Calc'!K$60,IF(OR(D19&gt;='Step 2-3 Avg Rate and Trig Calc'!M$62,'Step 2-3 Avg Rate and Trig Calc'!M$62=""),'Step 2-3 Avg Rate and Trig Calc'!L$60,IF(OR(D19&gt;='Step 2-3 Avg Rate and Trig Calc'!N$62,'Step 2-3 Avg Rate and Trig Calc'!N$62=""),'Step 2-3 Avg Rate and Trig Calc'!M$60,IF(OR(D19&gt;='Step 2-3 Avg Rate and Trig Calc'!O$62,'Step 2-3 Avg Rate and Trig Calc'!O$62=""),'Step 2-3 Avg Rate and Trig Calc'!N$60,'Step 2-3 Avg Rate and Trig Calc'!O$60)))))))))))</f>
        <v>I</v>
      </c>
      <c r="F19" s="314">
        <f>IF(E19="A",'Step 2-3 Avg Rate and Trig Calc'!D$69,IF(E19="B",'Step 2-3 Avg Rate and Trig Calc'!E$69,IF(E19="C",'Step 2-3 Avg Rate and Trig Calc'!F$69,IF(E19="D",'Step 2-3 Avg Rate and Trig Calc'!G$69,IF(E19="E",'Step 2-3 Avg Rate and Trig Calc'!H$69,IF(E19="F",'Step 2-3 Avg Rate and Trig Calc'!I$69,IF(E19="G",'Step 2-3 Avg Rate and Trig Calc'!J$69,IF(E19="H",'Step 2-3 Avg Rate and Trig Calc'!K$69,IF(E19="I",'Step 2-3 Avg Rate and Trig Calc'!L$69,IF(E19="j",'Step 2-3 Avg Rate and Trig Calc'!M$69,IF(E19="K",'Step 2-3 Avg Rate and Trig Calc'!N$69,IF(E19="L",'Step 2-3 Avg Rate and Trig Calc'!O$69,"ERROR"))))))))))))</f>
        <v>3.4000000000000002E-2</v>
      </c>
      <c r="G19" s="314">
        <f>H11</f>
        <v>0.02</v>
      </c>
      <c r="H19" s="314">
        <f t="shared" ref="H19:H28" si="2">C19+F19-G19</f>
        <v>1.4000000000000002E-2</v>
      </c>
      <c r="I19" s="315">
        <f>H19/'Step 2-3 Avg Rate and Trig Calc'!$K$54*'Base Rate Calculation'!$I$25</f>
        <v>0.36493333333333339</v>
      </c>
      <c r="J19" s="315"/>
      <c r="K19" s="318"/>
      <c r="L19" s="303"/>
    </row>
    <row r="20" spans="2:12" ht="15.75" x14ac:dyDescent="0.25">
      <c r="B20" s="313" t="s">
        <v>162</v>
      </c>
      <c r="C20" s="314">
        <f t="shared" si="0"/>
        <v>1.4000000000000002E-2</v>
      </c>
      <c r="D20" s="315">
        <f t="shared" si="1"/>
        <v>0.36493333333333339</v>
      </c>
      <c r="E20" s="305" t="str">
        <f>IF(D20&gt;='Step 2-3 Avg Rate and Trig Calc'!E$62,'Step 2-3 Avg Rate and Trig Calc'!D$60,IF(D20&gt;='Step 2-3 Avg Rate and Trig Calc'!F$62,'Step 2-3 Avg Rate and Trig Calc'!E$60,IF(OR(D20&gt;='Step 2-3 Avg Rate and Trig Calc'!G$62,'Step 2-3 Avg Rate and Trig Calc'!G$62=""),'Step 2-3 Avg Rate and Trig Calc'!F$60,IF(OR(D20&gt;='Step 2-3 Avg Rate and Trig Calc'!H$62,'Step 2-3 Avg Rate and Trig Calc'!H$62=""),'Step 2-3 Avg Rate and Trig Calc'!G$60,IF(OR(D20&gt;='Step 2-3 Avg Rate and Trig Calc'!I$62,'Step 2-3 Avg Rate and Trig Calc'!I$62=""),'Step 2-3 Avg Rate and Trig Calc'!H$60,IF(OR(D20&gt;='Step 2-3 Avg Rate and Trig Calc'!J$62,'Step 2-3 Avg Rate and Trig Calc'!J$62=""),'Step 2-3 Avg Rate and Trig Calc'!I$60,IF(OR(D20&gt;='Step 2-3 Avg Rate and Trig Calc'!K$62,'Step 2-3 Avg Rate and Trig Calc'!K$62=""),'Step 2-3 Avg Rate and Trig Calc'!J$60,IF(OR(D20&gt;='Step 2-3 Avg Rate and Trig Calc'!L$62,'Step 2-3 Avg Rate and Trig Calc'!L$62=""),'Step 2-3 Avg Rate and Trig Calc'!K$60,IF(OR(D20&gt;='Step 2-3 Avg Rate and Trig Calc'!M$62,'Step 2-3 Avg Rate and Trig Calc'!M$62=""),'Step 2-3 Avg Rate and Trig Calc'!L$60,IF(OR(D20&gt;='Step 2-3 Avg Rate and Trig Calc'!N$62,'Step 2-3 Avg Rate and Trig Calc'!N$62=""),'Step 2-3 Avg Rate and Trig Calc'!M$60,IF(OR(D20&gt;='Step 2-3 Avg Rate and Trig Calc'!O$62,'Step 2-3 Avg Rate and Trig Calc'!O$62=""),'Step 2-3 Avg Rate and Trig Calc'!N$60,'Step 2-3 Avg Rate and Trig Calc'!O$60)))))))))))</f>
        <v>H</v>
      </c>
      <c r="F20" s="314">
        <f>IF(E20="A",'Step 2-3 Avg Rate and Trig Calc'!D$69,IF(E20="B",'Step 2-3 Avg Rate and Trig Calc'!E$69,IF(E20="C",'Step 2-3 Avg Rate and Trig Calc'!F$69,IF(E20="D",'Step 2-3 Avg Rate and Trig Calc'!G$69,IF(E20="E",'Step 2-3 Avg Rate and Trig Calc'!H$69,IF(E20="F",'Step 2-3 Avg Rate and Trig Calc'!I$69,IF(E20="G",'Step 2-3 Avg Rate and Trig Calc'!J$69,IF(E20="H",'Step 2-3 Avg Rate and Trig Calc'!K$69,IF(E20="I",'Step 2-3 Avg Rate and Trig Calc'!L$69,IF(E20="j",'Step 2-3 Avg Rate and Trig Calc'!M$69,IF(E20="K",'Step 2-3 Avg Rate and Trig Calc'!N$69,IF(E20="L",'Step 2-3 Avg Rate and Trig Calc'!O$69,"ERROR"))))))))))))</f>
        <v>3.2399999999999998E-2</v>
      </c>
      <c r="G20" s="314">
        <f t="shared" ref="G20:G28" si="3">G$19</f>
        <v>0.02</v>
      </c>
      <c r="H20" s="314">
        <f t="shared" si="2"/>
        <v>2.6399999999999996E-2</v>
      </c>
      <c r="I20" s="315">
        <f>H20/'Step 2-3 Avg Rate and Trig Calc'!$K$54*'Base Rate Calculation'!$I$25</f>
        <v>0.68815999999999999</v>
      </c>
      <c r="J20" s="315"/>
      <c r="K20" s="318"/>
      <c r="L20" s="303"/>
    </row>
    <row r="21" spans="2:12" ht="15.75" x14ac:dyDescent="0.25">
      <c r="B21" s="313" t="s">
        <v>163</v>
      </c>
      <c r="C21" s="314">
        <f t="shared" si="0"/>
        <v>2.6399999999999996E-2</v>
      </c>
      <c r="D21" s="315">
        <f t="shared" si="1"/>
        <v>0.68815999999999999</v>
      </c>
      <c r="E21" s="305" t="str">
        <f>IF(D21&gt;='Step 2-3 Avg Rate and Trig Calc'!E$62,'Step 2-3 Avg Rate and Trig Calc'!D$60,IF(D21&gt;='Step 2-3 Avg Rate and Trig Calc'!F$62,'Step 2-3 Avg Rate and Trig Calc'!E$60,IF(OR(D21&gt;='Step 2-3 Avg Rate and Trig Calc'!G$62,'Step 2-3 Avg Rate and Trig Calc'!G$62=""),'Step 2-3 Avg Rate and Trig Calc'!F$60,IF(OR(D21&gt;='Step 2-3 Avg Rate and Trig Calc'!H$62,'Step 2-3 Avg Rate and Trig Calc'!H$62=""),'Step 2-3 Avg Rate and Trig Calc'!G$60,IF(OR(D21&gt;='Step 2-3 Avg Rate and Trig Calc'!I$62,'Step 2-3 Avg Rate and Trig Calc'!I$62=""),'Step 2-3 Avg Rate and Trig Calc'!H$60,IF(OR(D21&gt;='Step 2-3 Avg Rate and Trig Calc'!J$62,'Step 2-3 Avg Rate and Trig Calc'!J$62=""),'Step 2-3 Avg Rate and Trig Calc'!I$60,IF(OR(D21&gt;='Step 2-3 Avg Rate and Trig Calc'!K$62,'Step 2-3 Avg Rate and Trig Calc'!K$62=""),'Step 2-3 Avg Rate and Trig Calc'!J$60,IF(OR(D21&gt;='Step 2-3 Avg Rate and Trig Calc'!L$62,'Step 2-3 Avg Rate and Trig Calc'!L$62=""),'Step 2-3 Avg Rate and Trig Calc'!K$60,IF(OR(D21&gt;='Step 2-3 Avg Rate and Trig Calc'!M$62,'Step 2-3 Avg Rate and Trig Calc'!M$62=""),'Step 2-3 Avg Rate and Trig Calc'!L$60,IF(OR(D21&gt;='Step 2-3 Avg Rate and Trig Calc'!N$62,'Step 2-3 Avg Rate and Trig Calc'!N$62=""),'Step 2-3 Avg Rate and Trig Calc'!M$60,IF(OR(D21&gt;='Step 2-3 Avg Rate and Trig Calc'!O$62,'Step 2-3 Avg Rate and Trig Calc'!O$62=""),'Step 2-3 Avg Rate and Trig Calc'!N$60,'Step 2-3 Avg Rate and Trig Calc'!O$60)))))))))))</f>
        <v>E</v>
      </c>
      <c r="F21" s="314">
        <f>IF(E21="A",'Step 2-3 Avg Rate and Trig Calc'!D$69,IF(E21="B",'Step 2-3 Avg Rate and Trig Calc'!E$69,IF(E21="C",'Step 2-3 Avg Rate and Trig Calc'!F$69,IF(E21="D",'Step 2-3 Avg Rate and Trig Calc'!G$69,IF(E21="E",'Step 2-3 Avg Rate and Trig Calc'!H$69,IF(E21="F",'Step 2-3 Avg Rate and Trig Calc'!I$69,IF(E21="G",'Step 2-3 Avg Rate and Trig Calc'!J$69,IF(E21="H",'Step 2-3 Avg Rate and Trig Calc'!K$69,IF(E21="I",'Step 2-3 Avg Rate and Trig Calc'!L$69,IF(E21="j",'Step 2-3 Avg Rate and Trig Calc'!M$69,IF(E21="K",'Step 2-3 Avg Rate and Trig Calc'!N$69,IF(E21="L",'Step 2-3 Avg Rate and Trig Calc'!O$69,"ERROR"))))))))))))</f>
        <v>2.7400000000000001E-2</v>
      </c>
      <c r="G21" s="314">
        <f t="shared" si="3"/>
        <v>0.02</v>
      </c>
      <c r="H21" s="314">
        <f t="shared" si="2"/>
        <v>3.3799999999999997E-2</v>
      </c>
      <c r="I21" s="315">
        <f>H21/'Step 2-3 Avg Rate and Trig Calc'!$K$54*'Base Rate Calculation'!$I$25</f>
        <v>0.88105333333333335</v>
      </c>
      <c r="J21" s="315"/>
      <c r="K21" s="318"/>
      <c r="L21" s="303"/>
    </row>
    <row r="22" spans="2:12" ht="15.75" x14ac:dyDescent="0.25">
      <c r="B22" s="313" t="s">
        <v>164</v>
      </c>
      <c r="C22" s="314">
        <f t="shared" si="0"/>
        <v>3.3799999999999997E-2</v>
      </c>
      <c r="D22" s="315">
        <f t="shared" si="1"/>
        <v>0.88105333333333335</v>
      </c>
      <c r="E22" s="305" t="str">
        <f>IF(D22&gt;='Step 2-3 Avg Rate and Trig Calc'!E$62,'Step 2-3 Avg Rate and Trig Calc'!D$60,IF(D22&gt;='Step 2-3 Avg Rate and Trig Calc'!F$62,'Step 2-3 Avg Rate and Trig Calc'!E$60,IF(OR(D22&gt;='Step 2-3 Avg Rate and Trig Calc'!G$62,'Step 2-3 Avg Rate and Trig Calc'!G$62=""),'Step 2-3 Avg Rate and Trig Calc'!F$60,IF(OR(D22&gt;='Step 2-3 Avg Rate and Trig Calc'!H$62,'Step 2-3 Avg Rate and Trig Calc'!H$62=""),'Step 2-3 Avg Rate and Trig Calc'!G$60,IF(OR(D22&gt;='Step 2-3 Avg Rate and Trig Calc'!I$62,'Step 2-3 Avg Rate and Trig Calc'!I$62=""),'Step 2-3 Avg Rate and Trig Calc'!H$60,IF(OR(D22&gt;='Step 2-3 Avg Rate and Trig Calc'!J$62,'Step 2-3 Avg Rate and Trig Calc'!J$62=""),'Step 2-3 Avg Rate and Trig Calc'!I$60,IF(OR(D22&gt;='Step 2-3 Avg Rate and Trig Calc'!K$62,'Step 2-3 Avg Rate and Trig Calc'!K$62=""),'Step 2-3 Avg Rate and Trig Calc'!J$60,IF(OR(D22&gt;='Step 2-3 Avg Rate and Trig Calc'!L$62,'Step 2-3 Avg Rate and Trig Calc'!L$62=""),'Step 2-3 Avg Rate and Trig Calc'!K$60,IF(OR(D22&gt;='Step 2-3 Avg Rate and Trig Calc'!M$62,'Step 2-3 Avg Rate and Trig Calc'!M$62=""),'Step 2-3 Avg Rate and Trig Calc'!L$60,IF(OR(D22&gt;='Step 2-3 Avg Rate and Trig Calc'!N$62,'Step 2-3 Avg Rate and Trig Calc'!N$62=""),'Step 2-3 Avg Rate and Trig Calc'!M$60,IF(OR(D22&gt;='Step 2-3 Avg Rate and Trig Calc'!O$62,'Step 2-3 Avg Rate and Trig Calc'!O$62=""),'Step 2-3 Avg Rate and Trig Calc'!N$60,'Step 2-3 Avg Rate and Trig Calc'!O$60)))))))))))</f>
        <v>C</v>
      </c>
      <c r="F22" s="314">
        <f>IF(E22="A",'Step 2-3 Avg Rate and Trig Calc'!D$69,IF(E22="B",'Step 2-3 Avg Rate and Trig Calc'!E$69,IF(E22="C",'Step 2-3 Avg Rate and Trig Calc'!F$69,IF(E22="D",'Step 2-3 Avg Rate and Trig Calc'!G$69,IF(E22="E",'Step 2-3 Avg Rate and Trig Calc'!H$69,IF(E22="F",'Step 2-3 Avg Rate and Trig Calc'!I$69,IF(E22="G",'Step 2-3 Avg Rate and Trig Calc'!J$69,IF(E22="H",'Step 2-3 Avg Rate and Trig Calc'!K$69,IF(E22="I",'Step 2-3 Avg Rate and Trig Calc'!L$69,IF(E22="j",'Step 2-3 Avg Rate and Trig Calc'!M$69,IF(E22="K",'Step 2-3 Avg Rate and Trig Calc'!N$69,IF(E22="L",'Step 2-3 Avg Rate and Trig Calc'!O$69,"ERROR"))))))))))))</f>
        <v>2.41E-2</v>
      </c>
      <c r="G22" s="314">
        <f t="shared" si="3"/>
        <v>0.02</v>
      </c>
      <c r="H22" s="314">
        <f t="shared" si="2"/>
        <v>3.7899999999999989E-2</v>
      </c>
      <c r="I22" s="315">
        <f>H22/'Step 2-3 Avg Rate and Trig Calc'!$K$54*'Base Rate Calculation'!$I$25</f>
        <v>0.9879266666666664</v>
      </c>
      <c r="J22" s="315"/>
      <c r="K22" s="318"/>
      <c r="L22" s="303"/>
    </row>
    <row r="23" spans="2:12" ht="15.75" x14ac:dyDescent="0.25">
      <c r="B23" s="313" t="s">
        <v>165</v>
      </c>
      <c r="C23" s="314">
        <f t="shared" si="0"/>
        <v>3.7899999999999989E-2</v>
      </c>
      <c r="D23" s="315">
        <f t="shared" si="1"/>
        <v>0.9879266666666664</v>
      </c>
      <c r="E23" s="305" t="str">
        <f>IF(D23&gt;='Step 2-3 Avg Rate and Trig Calc'!E$62,'Step 2-3 Avg Rate and Trig Calc'!D$60,IF(D23&gt;='Step 2-3 Avg Rate and Trig Calc'!F$62,'Step 2-3 Avg Rate and Trig Calc'!E$60,IF(OR(D23&gt;='Step 2-3 Avg Rate and Trig Calc'!G$62,'Step 2-3 Avg Rate and Trig Calc'!G$62=""),'Step 2-3 Avg Rate and Trig Calc'!F$60,IF(OR(D23&gt;='Step 2-3 Avg Rate and Trig Calc'!H$62,'Step 2-3 Avg Rate and Trig Calc'!H$62=""),'Step 2-3 Avg Rate and Trig Calc'!G$60,IF(OR(D23&gt;='Step 2-3 Avg Rate and Trig Calc'!I$62,'Step 2-3 Avg Rate and Trig Calc'!I$62=""),'Step 2-3 Avg Rate and Trig Calc'!H$60,IF(OR(D23&gt;='Step 2-3 Avg Rate and Trig Calc'!J$62,'Step 2-3 Avg Rate and Trig Calc'!J$62=""),'Step 2-3 Avg Rate and Trig Calc'!I$60,IF(OR(D23&gt;='Step 2-3 Avg Rate and Trig Calc'!K$62,'Step 2-3 Avg Rate and Trig Calc'!K$62=""),'Step 2-3 Avg Rate and Trig Calc'!J$60,IF(OR(D23&gt;='Step 2-3 Avg Rate and Trig Calc'!L$62,'Step 2-3 Avg Rate and Trig Calc'!L$62=""),'Step 2-3 Avg Rate and Trig Calc'!K$60,IF(OR(D23&gt;='Step 2-3 Avg Rate and Trig Calc'!M$62,'Step 2-3 Avg Rate and Trig Calc'!M$62=""),'Step 2-3 Avg Rate and Trig Calc'!L$60,IF(OR(D23&gt;='Step 2-3 Avg Rate and Trig Calc'!N$62,'Step 2-3 Avg Rate and Trig Calc'!N$62=""),'Step 2-3 Avg Rate and Trig Calc'!M$60,IF(OR(D23&gt;='Step 2-3 Avg Rate and Trig Calc'!O$62,'Step 2-3 Avg Rate and Trig Calc'!O$62=""),'Step 2-3 Avg Rate and Trig Calc'!N$60,'Step 2-3 Avg Rate and Trig Calc'!O$60)))))))))))</f>
        <v>C</v>
      </c>
      <c r="F23" s="314">
        <f>IF(E23="A",'Step 2-3 Avg Rate and Trig Calc'!D$69,IF(E23="B",'Step 2-3 Avg Rate and Trig Calc'!E$69,IF(E23="C",'Step 2-3 Avg Rate and Trig Calc'!F$69,IF(E23="D",'Step 2-3 Avg Rate and Trig Calc'!G$69,IF(E23="E",'Step 2-3 Avg Rate and Trig Calc'!H$69,IF(E23="F",'Step 2-3 Avg Rate and Trig Calc'!I$69,IF(E23="G",'Step 2-3 Avg Rate and Trig Calc'!J$69,IF(E23="H",'Step 2-3 Avg Rate and Trig Calc'!K$69,IF(E23="I",'Step 2-3 Avg Rate and Trig Calc'!L$69,IF(E23="j",'Step 2-3 Avg Rate and Trig Calc'!M$69,IF(E23="K",'Step 2-3 Avg Rate and Trig Calc'!N$69,IF(E23="L",'Step 2-3 Avg Rate and Trig Calc'!O$69,"ERROR"))))))))))))</f>
        <v>2.41E-2</v>
      </c>
      <c r="G23" s="314">
        <f t="shared" si="3"/>
        <v>0.02</v>
      </c>
      <c r="H23" s="314">
        <f t="shared" si="2"/>
        <v>4.1999999999999982E-2</v>
      </c>
      <c r="I23" s="315">
        <f>H23/'Step 2-3 Avg Rate and Trig Calc'!$K$54*'Base Rate Calculation'!$I$25</f>
        <v>1.0947999999999996</v>
      </c>
      <c r="J23" s="315"/>
      <c r="K23" s="318"/>
      <c r="L23" s="303"/>
    </row>
    <row r="24" spans="2:12" ht="15.75" x14ac:dyDescent="0.25">
      <c r="B24" s="313" t="s">
        <v>166</v>
      </c>
      <c r="C24" s="314">
        <f t="shared" si="0"/>
        <v>4.1999999999999982E-2</v>
      </c>
      <c r="D24" s="315">
        <f t="shared" si="1"/>
        <v>1.0947999999999996</v>
      </c>
      <c r="E24" s="305" t="str">
        <f>IF(D24&gt;='Step 2-3 Avg Rate and Trig Calc'!E$62,'Step 2-3 Avg Rate and Trig Calc'!D$60,IF(D24&gt;='Step 2-3 Avg Rate and Trig Calc'!F$62,'Step 2-3 Avg Rate and Trig Calc'!E$60,IF(OR(D24&gt;='Step 2-3 Avg Rate and Trig Calc'!G$62,'Step 2-3 Avg Rate and Trig Calc'!G$62=""),'Step 2-3 Avg Rate and Trig Calc'!F$60,IF(OR(D24&gt;='Step 2-3 Avg Rate and Trig Calc'!H$62,'Step 2-3 Avg Rate and Trig Calc'!H$62=""),'Step 2-3 Avg Rate and Trig Calc'!G$60,IF(OR(D24&gt;='Step 2-3 Avg Rate and Trig Calc'!I$62,'Step 2-3 Avg Rate and Trig Calc'!I$62=""),'Step 2-3 Avg Rate and Trig Calc'!H$60,IF(OR(D24&gt;='Step 2-3 Avg Rate and Trig Calc'!J$62,'Step 2-3 Avg Rate and Trig Calc'!J$62=""),'Step 2-3 Avg Rate and Trig Calc'!I$60,IF(OR(D24&gt;='Step 2-3 Avg Rate and Trig Calc'!K$62,'Step 2-3 Avg Rate and Trig Calc'!K$62=""),'Step 2-3 Avg Rate and Trig Calc'!J$60,IF(OR(D24&gt;='Step 2-3 Avg Rate and Trig Calc'!L$62,'Step 2-3 Avg Rate and Trig Calc'!L$62=""),'Step 2-3 Avg Rate and Trig Calc'!K$60,IF(OR(D24&gt;='Step 2-3 Avg Rate and Trig Calc'!M$62,'Step 2-3 Avg Rate and Trig Calc'!M$62=""),'Step 2-3 Avg Rate and Trig Calc'!L$60,IF(OR(D24&gt;='Step 2-3 Avg Rate and Trig Calc'!N$62,'Step 2-3 Avg Rate and Trig Calc'!N$62=""),'Step 2-3 Avg Rate and Trig Calc'!M$60,IF(OR(D24&gt;='Step 2-3 Avg Rate and Trig Calc'!O$62,'Step 2-3 Avg Rate and Trig Calc'!O$62=""),'Step 2-3 Avg Rate and Trig Calc'!N$60,'Step 2-3 Avg Rate and Trig Calc'!O$60)))))))))))</f>
        <v>B</v>
      </c>
      <c r="F24" s="314">
        <f>IF(E24="A",'Step 2-3 Avg Rate and Trig Calc'!D$69,IF(E24="B",'Step 2-3 Avg Rate and Trig Calc'!E$69,IF(E24="C",'Step 2-3 Avg Rate and Trig Calc'!F$69,IF(E24="D",'Step 2-3 Avg Rate and Trig Calc'!G$69,IF(E24="E",'Step 2-3 Avg Rate and Trig Calc'!H$69,IF(E24="F",'Step 2-3 Avg Rate and Trig Calc'!I$69,IF(E24="G",'Step 2-3 Avg Rate and Trig Calc'!J$69,IF(E24="H",'Step 2-3 Avg Rate and Trig Calc'!K$69,IF(E24="I",'Step 2-3 Avg Rate and Trig Calc'!L$69,IF(E24="j",'Step 2-3 Avg Rate and Trig Calc'!M$69,IF(E24="K",'Step 2-3 Avg Rate and Trig Calc'!N$69,IF(E24="L",'Step 2-3 Avg Rate and Trig Calc'!O$69,"ERROR"))))))))))))</f>
        <v>2.2499999999999999E-2</v>
      </c>
      <c r="G24" s="314">
        <f t="shared" si="3"/>
        <v>0.02</v>
      </c>
      <c r="H24" s="314">
        <f t="shared" si="2"/>
        <v>4.449999999999997E-2</v>
      </c>
      <c r="I24" s="315">
        <f>H24/'Step 2-3 Avg Rate and Trig Calc'!$K$54*'Base Rate Calculation'!$I$25</f>
        <v>1.1599666666666659</v>
      </c>
      <c r="J24" s="315"/>
      <c r="K24" s="318"/>
      <c r="L24" s="303"/>
    </row>
    <row r="25" spans="2:12" ht="15.75" x14ac:dyDescent="0.25">
      <c r="B25" s="313" t="s">
        <v>167</v>
      </c>
      <c r="C25" s="314">
        <f t="shared" si="0"/>
        <v>4.449999999999997E-2</v>
      </c>
      <c r="D25" s="315">
        <f t="shared" si="1"/>
        <v>1.1599666666666659</v>
      </c>
      <c r="E25" s="305" t="str">
        <f>IF(D25&gt;='Step 2-3 Avg Rate and Trig Calc'!E$62,'Step 2-3 Avg Rate and Trig Calc'!D$60,IF(D25&gt;='Step 2-3 Avg Rate and Trig Calc'!F$62,'Step 2-3 Avg Rate and Trig Calc'!E$60,IF(OR(D25&gt;='Step 2-3 Avg Rate and Trig Calc'!G$62,'Step 2-3 Avg Rate and Trig Calc'!G$62=""),'Step 2-3 Avg Rate and Trig Calc'!F$60,IF(OR(D25&gt;='Step 2-3 Avg Rate and Trig Calc'!H$62,'Step 2-3 Avg Rate and Trig Calc'!H$62=""),'Step 2-3 Avg Rate and Trig Calc'!G$60,IF(OR(D25&gt;='Step 2-3 Avg Rate and Trig Calc'!I$62,'Step 2-3 Avg Rate and Trig Calc'!I$62=""),'Step 2-3 Avg Rate and Trig Calc'!H$60,IF(OR(D25&gt;='Step 2-3 Avg Rate and Trig Calc'!J$62,'Step 2-3 Avg Rate and Trig Calc'!J$62=""),'Step 2-3 Avg Rate and Trig Calc'!I$60,IF(OR(D25&gt;='Step 2-3 Avg Rate and Trig Calc'!K$62,'Step 2-3 Avg Rate and Trig Calc'!K$62=""),'Step 2-3 Avg Rate and Trig Calc'!J$60,IF(OR(D25&gt;='Step 2-3 Avg Rate and Trig Calc'!L$62,'Step 2-3 Avg Rate and Trig Calc'!L$62=""),'Step 2-3 Avg Rate and Trig Calc'!K$60,IF(OR(D25&gt;='Step 2-3 Avg Rate and Trig Calc'!M$62,'Step 2-3 Avg Rate and Trig Calc'!M$62=""),'Step 2-3 Avg Rate and Trig Calc'!L$60,IF(OR(D25&gt;='Step 2-3 Avg Rate and Trig Calc'!N$62,'Step 2-3 Avg Rate and Trig Calc'!N$62=""),'Step 2-3 Avg Rate and Trig Calc'!M$60,IF(OR(D25&gt;='Step 2-3 Avg Rate and Trig Calc'!O$62,'Step 2-3 Avg Rate and Trig Calc'!O$62=""),'Step 2-3 Avg Rate and Trig Calc'!N$60,'Step 2-3 Avg Rate and Trig Calc'!O$60)))))))))))</f>
        <v>B</v>
      </c>
      <c r="F25" s="314">
        <f>IF(E25="A",'Step 2-3 Avg Rate and Trig Calc'!D$69,IF(E25="B",'Step 2-3 Avg Rate and Trig Calc'!E$69,IF(E25="C",'Step 2-3 Avg Rate and Trig Calc'!F$69,IF(E25="D",'Step 2-3 Avg Rate and Trig Calc'!G$69,IF(E25="E",'Step 2-3 Avg Rate and Trig Calc'!H$69,IF(E25="F",'Step 2-3 Avg Rate and Trig Calc'!I$69,IF(E25="G",'Step 2-3 Avg Rate and Trig Calc'!J$69,IF(E25="H",'Step 2-3 Avg Rate and Trig Calc'!K$69,IF(E25="I",'Step 2-3 Avg Rate and Trig Calc'!L$69,IF(E25="j",'Step 2-3 Avg Rate and Trig Calc'!M$69,IF(E25="K",'Step 2-3 Avg Rate and Trig Calc'!N$69,IF(E25="L",'Step 2-3 Avg Rate and Trig Calc'!O$69,"ERROR"))))))))))))</f>
        <v>2.2499999999999999E-2</v>
      </c>
      <c r="G25" s="314">
        <f t="shared" si="3"/>
        <v>0.02</v>
      </c>
      <c r="H25" s="314">
        <f t="shared" si="2"/>
        <v>4.6999999999999972E-2</v>
      </c>
      <c r="I25" s="315">
        <f>H25/'Step 2-3 Avg Rate and Trig Calc'!$K$54*'Base Rate Calculation'!$I$25</f>
        <v>1.2251333333333327</v>
      </c>
      <c r="J25" s="315"/>
      <c r="K25" s="318"/>
      <c r="L25" s="303"/>
    </row>
    <row r="26" spans="2:12" ht="15.75" x14ac:dyDescent="0.25">
      <c r="B26" s="313" t="s">
        <v>168</v>
      </c>
      <c r="C26" s="314">
        <f t="shared" si="0"/>
        <v>4.6999999999999972E-2</v>
      </c>
      <c r="D26" s="315">
        <f t="shared" si="1"/>
        <v>1.2251333333333327</v>
      </c>
      <c r="E26" s="305" t="str">
        <f>IF(D26&gt;='Step 2-3 Avg Rate and Trig Calc'!E$62,'Step 2-3 Avg Rate and Trig Calc'!D$60,IF(D26&gt;='Step 2-3 Avg Rate and Trig Calc'!F$62,'Step 2-3 Avg Rate and Trig Calc'!E$60,IF(OR(D26&gt;='Step 2-3 Avg Rate and Trig Calc'!G$62,'Step 2-3 Avg Rate and Trig Calc'!G$62=""),'Step 2-3 Avg Rate and Trig Calc'!F$60,IF(OR(D26&gt;='Step 2-3 Avg Rate and Trig Calc'!H$62,'Step 2-3 Avg Rate and Trig Calc'!H$62=""),'Step 2-3 Avg Rate and Trig Calc'!G$60,IF(OR(D26&gt;='Step 2-3 Avg Rate and Trig Calc'!I$62,'Step 2-3 Avg Rate and Trig Calc'!I$62=""),'Step 2-3 Avg Rate and Trig Calc'!H$60,IF(OR(D26&gt;='Step 2-3 Avg Rate and Trig Calc'!J$62,'Step 2-3 Avg Rate and Trig Calc'!J$62=""),'Step 2-3 Avg Rate and Trig Calc'!I$60,IF(OR(D26&gt;='Step 2-3 Avg Rate and Trig Calc'!K$62,'Step 2-3 Avg Rate and Trig Calc'!K$62=""),'Step 2-3 Avg Rate and Trig Calc'!J$60,IF(OR(D26&gt;='Step 2-3 Avg Rate and Trig Calc'!L$62,'Step 2-3 Avg Rate and Trig Calc'!L$62=""),'Step 2-3 Avg Rate and Trig Calc'!K$60,IF(OR(D26&gt;='Step 2-3 Avg Rate and Trig Calc'!M$62,'Step 2-3 Avg Rate and Trig Calc'!M$62=""),'Step 2-3 Avg Rate and Trig Calc'!L$60,IF(OR(D26&gt;='Step 2-3 Avg Rate and Trig Calc'!N$62,'Step 2-3 Avg Rate and Trig Calc'!N$62=""),'Step 2-3 Avg Rate and Trig Calc'!M$60,IF(OR(D26&gt;='Step 2-3 Avg Rate and Trig Calc'!O$62,'Step 2-3 Avg Rate and Trig Calc'!O$62=""),'Step 2-3 Avg Rate and Trig Calc'!N$60,'Step 2-3 Avg Rate and Trig Calc'!O$60)))))))))))</f>
        <v>A</v>
      </c>
      <c r="F26" s="314">
        <f>IF(E26="A",'Step 2-3 Avg Rate and Trig Calc'!D$69,IF(E26="B",'Step 2-3 Avg Rate and Trig Calc'!E$69,IF(E26="C",'Step 2-3 Avg Rate and Trig Calc'!F$69,IF(E26="D",'Step 2-3 Avg Rate and Trig Calc'!G$69,IF(E26="E",'Step 2-3 Avg Rate and Trig Calc'!H$69,IF(E26="F",'Step 2-3 Avg Rate and Trig Calc'!I$69,IF(E26="G",'Step 2-3 Avg Rate and Trig Calc'!J$69,IF(E26="H",'Step 2-3 Avg Rate and Trig Calc'!K$69,IF(E26="I",'Step 2-3 Avg Rate and Trig Calc'!L$69,IF(E26="j",'Step 2-3 Avg Rate and Trig Calc'!M$69,IF(E26="K",'Step 2-3 Avg Rate and Trig Calc'!N$69,IF(E26="L",'Step 2-3 Avg Rate and Trig Calc'!O$69,"ERROR"))))))))))))</f>
        <v>1.3999999999999999E-2</v>
      </c>
      <c r="G26" s="314">
        <f t="shared" si="3"/>
        <v>0.02</v>
      </c>
      <c r="H26" s="314">
        <f t="shared" si="2"/>
        <v>4.0999999999999967E-2</v>
      </c>
      <c r="I26" s="315">
        <f>H26/'Step 2-3 Avg Rate and Trig Calc'!$K$54*'Base Rate Calculation'!$I$25</f>
        <v>1.0687333333333324</v>
      </c>
      <c r="J26" s="315"/>
      <c r="K26" s="318"/>
      <c r="L26" s="303"/>
    </row>
    <row r="27" spans="2:12" ht="15.75" x14ac:dyDescent="0.25">
      <c r="B27" s="313" t="s">
        <v>169</v>
      </c>
      <c r="C27" s="314">
        <f t="shared" si="0"/>
        <v>4.0999999999999967E-2</v>
      </c>
      <c r="D27" s="315">
        <f t="shared" si="1"/>
        <v>1.0687333333333324</v>
      </c>
      <c r="E27" s="305" t="str">
        <f>IF(D27&gt;='Step 2-3 Avg Rate and Trig Calc'!E$62,'Step 2-3 Avg Rate and Trig Calc'!D$60,IF(D27&gt;='Step 2-3 Avg Rate and Trig Calc'!F$62,'Step 2-3 Avg Rate and Trig Calc'!E$60,IF(OR(D27&gt;='Step 2-3 Avg Rate and Trig Calc'!G$62,'Step 2-3 Avg Rate and Trig Calc'!G$62=""),'Step 2-3 Avg Rate and Trig Calc'!F$60,IF(OR(D27&gt;='Step 2-3 Avg Rate and Trig Calc'!H$62,'Step 2-3 Avg Rate and Trig Calc'!H$62=""),'Step 2-3 Avg Rate and Trig Calc'!G$60,IF(OR(D27&gt;='Step 2-3 Avg Rate and Trig Calc'!I$62,'Step 2-3 Avg Rate and Trig Calc'!I$62=""),'Step 2-3 Avg Rate and Trig Calc'!H$60,IF(OR(D27&gt;='Step 2-3 Avg Rate and Trig Calc'!J$62,'Step 2-3 Avg Rate and Trig Calc'!J$62=""),'Step 2-3 Avg Rate and Trig Calc'!I$60,IF(OR(D27&gt;='Step 2-3 Avg Rate and Trig Calc'!K$62,'Step 2-3 Avg Rate and Trig Calc'!K$62=""),'Step 2-3 Avg Rate and Trig Calc'!J$60,IF(OR(D27&gt;='Step 2-3 Avg Rate and Trig Calc'!L$62,'Step 2-3 Avg Rate and Trig Calc'!L$62=""),'Step 2-3 Avg Rate and Trig Calc'!K$60,IF(OR(D27&gt;='Step 2-3 Avg Rate and Trig Calc'!M$62,'Step 2-3 Avg Rate and Trig Calc'!M$62=""),'Step 2-3 Avg Rate and Trig Calc'!L$60,IF(OR(D27&gt;='Step 2-3 Avg Rate and Trig Calc'!N$62,'Step 2-3 Avg Rate and Trig Calc'!N$62=""),'Step 2-3 Avg Rate and Trig Calc'!M$60,IF(OR(D27&gt;='Step 2-3 Avg Rate and Trig Calc'!O$62,'Step 2-3 Avg Rate and Trig Calc'!O$62=""),'Step 2-3 Avg Rate and Trig Calc'!N$60,'Step 2-3 Avg Rate and Trig Calc'!O$60)))))))))))</f>
        <v>B</v>
      </c>
      <c r="F27" s="314">
        <f>IF(E27="A",'Step 2-3 Avg Rate and Trig Calc'!D$69,IF(E27="B",'Step 2-3 Avg Rate and Trig Calc'!E$69,IF(E27="C",'Step 2-3 Avg Rate and Trig Calc'!F$69,IF(E27="D",'Step 2-3 Avg Rate and Trig Calc'!G$69,IF(E27="E",'Step 2-3 Avg Rate and Trig Calc'!H$69,IF(E27="F",'Step 2-3 Avg Rate and Trig Calc'!I$69,IF(E27="G",'Step 2-3 Avg Rate and Trig Calc'!J$69,IF(E27="H",'Step 2-3 Avg Rate and Trig Calc'!K$69,IF(E27="I",'Step 2-3 Avg Rate and Trig Calc'!L$69,IF(E27="j",'Step 2-3 Avg Rate and Trig Calc'!M$69,IF(E27="K",'Step 2-3 Avg Rate and Trig Calc'!N$69,IF(E27="L",'Step 2-3 Avg Rate and Trig Calc'!O$69,"ERROR"))))))))))))</f>
        <v>2.2499999999999999E-2</v>
      </c>
      <c r="G27" s="314">
        <f t="shared" si="3"/>
        <v>0.02</v>
      </c>
      <c r="H27" s="314">
        <f t="shared" si="2"/>
        <v>4.3499999999999969E-2</v>
      </c>
      <c r="I27" s="315">
        <f>H27/'Step 2-3 Avg Rate and Trig Calc'!$K$54*'Base Rate Calculation'!$I$25</f>
        <v>1.1338999999999992</v>
      </c>
      <c r="J27" s="315"/>
      <c r="K27" s="318"/>
      <c r="L27" s="303"/>
    </row>
    <row r="28" spans="2:12" ht="15.75" x14ac:dyDescent="0.25">
      <c r="B28" s="313" t="s">
        <v>170</v>
      </c>
      <c r="C28" s="314">
        <f t="shared" si="0"/>
        <v>4.3499999999999969E-2</v>
      </c>
      <c r="D28" s="315">
        <f t="shared" si="1"/>
        <v>1.1338999999999992</v>
      </c>
      <c r="E28" s="305" t="str">
        <f>IF(D28&gt;='Step 2-3 Avg Rate and Trig Calc'!E$62,'Step 2-3 Avg Rate and Trig Calc'!D$60,IF(D28&gt;='Step 2-3 Avg Rate and Trig Calc'!F$62,'Step 2-3 Avg Rate and Trig Calc'!E$60,IF(OR(D28&gt;='Step 2-3 Avg Rate and Trig Calc'!G$62,'Step 2-3 Avg Rate and Trig Calc'!G$62=""),'Step 2-3 Avg Rate and Trig Calc'!F$60,IF(OR(D28&gt;='Step 2-3 Avg Rate and Trig Calc'!H$62,'Step 2-3 Avg Rate and Trig Calc'!H$62=""),'Step 2-3 Avg Rate and Trig Calc'!G$60,IF(OR(D28&gt;='Step 2-3 Avg Rate and Trig Calc'!I$62,'Step 2-3 Avg Rate and Trig Calc'!I$62=""),'Step 2-3 Avg Rate and Trig Calc'!H$60,IF(OR(D28&gt;='Step 2-3 Avg Rate and Trig Calc'!J$62,'Step 2-3 Avg Rate and Trig Calc'!J$62=""),'Step 2-3 Avg Rate and Trig Calc'!I$60,IF(OR(D28&gt;='Step 2-3 Avg Rate and Trig Calc'!K$62,'Step 2-3 Avg Rate and Trig Calc'!K$62=""),'Step 2-3 Avg Rate and Trig Calc'!J$60,IF(OR(D28&gt;='Step 2-3 Avg Rate and Trig Calc'!L$62,'Step 2-3 Avg Rate and Trig Calc'!L$62=""),'Step 2-3 Avg Rate and Trig Calc'!K$60,IF(OR(D28&gt;='Step 2-3 Avg Rate and Trig Calc'!M$62,'Step 2-3 Avg Rate and Trig Calc'!M$62=""),'Step 2-3 Avg Rate and Trig Calc'!L$60,IF(OR(D28&gt;='Step 2-3 Avg Rate and Trig Calc'!N$62,'Step 2-3 Avg Rate and Trig Calc'!N$62=""),'Step 2-3 Avg Rate and Trig Calc'!M$60,IF(OR(D28&gt;='Step 2-3 Avg Rate and Trig Calc'!O$62,'Step 2-3 Avg Rate and Trig Calc'!O$62=""),'Step 2-3 Avg Rate and Trig Calc'!N$60,'Step 2-3 Avg Rate and Trig Calc'!O$60)))))))))))</f>
        <v>B</v>
      </c>
      <c r="F28" s="314">
        <f>IF(E28="A",'Step 2-3 Avg Rate and Trig Calc'!D$69,IF(E28="B",'Step 2-3 Avg Rate and Trig Calc'!E$69,IF(E28="C",'Step 2-3 Avg Rate and Trig Calc'!F$69,IF(E28="D",'Step 2-3 Avg Rate and Trig Calc'!G$69,IF(E28="E",'Step 2-3 Avg Rate and Trig Calc'!H$69,IF(E28="F",'Step 2-3 Avg Rate and Trig Calc'!I$69,IF(E28="G",'Step 2-3 Avg Rate and Trig Calc'!J$69,IF(E28="H",'Step 2-3 Avg Rate and Trig Calc'!K$69,IF(E28="I",'Step 2-3 Avg Rate and Trig Calc'!L$69,IF(E28="j",'Step 2-3 Avg Rate and Trig Calc'!M$69,IF(E28="K",'Step 2-3 Avg Rate and Trig Calc'!N$69,IF(E28="L",'Step 2-3 Avg Rate and Trig Calc'!O$69,"ERROR"))))))))))))</f>
        <v>2.2499999999999999E-2</v>
      </c>
      <c r="G28" s="314">
        <f t="shared" si="3"/>
        <v>0.02</v>
      </c>
      <c r="H28" s="314">
        <f t="shared" si="2"/>
        <v>4.5999999999999971E-2</v>
      </c>
      <c r="I28" s="315">
        <f>H28/'Step 2-3 Avg Rate and Trig Calc'!$K$54*'Base Rate Calculation'!$I$25</f>
        <v>1.1990666666666661</v>
      </c>
      <c r="J28" s="315"/>
      <c r="K28" s="318"/>
      <c r="L28" s="303"/>
    </row>
    <row r="29" spans="2:12" ht="26.25" customHeight="1" x14ac:dyDescent="0.25">
      <c r="B29" s="319"/>
      <c r="C29" s="301"/>
      <c r="D29" s="301"/>
      <c r="E29" s="301"/>
      <c r="F29" s="301"/>
      <c r="G29" s="301"/>
      <c r="H29" s="301"/>
      <c r="I29" s="301"/>
      <c r="J29" s="301"/>
      <c r="K29" s="301"/>
      <c r="L29" s="303"/>
    </row>
    <row r="30" spans="2:12" ht="17.25" customHeight="1" thickBot="1" x14ac:dyDescent="0.4">
      <c r="B30" s="320" t="s">
        <v>249</v>
      </c>
      <c r="C30" s="321"/>
      <c r="D30" s="321"/>
      <c r="E30" s="321"/>
      <c r="F30" s="321"/>
      <c r="G30" s="321"/>
      <c r="H30" s="321"/>
      <c r="I30" s="321"/>
      <c r="J30" s="321"/>
      <c r="K30" s="322">
        <f>IF(AND(I18&lt;'Step 2-3 Avg Rate and Trig Calc'!G17,I19&gt;='Step 2-3 Avg Rate and Trig Calc'!G17),1,IF(AND(I19&lt;'Step 2-3 Avg Rate and Trig Calc'!G17,I20&gt;='Step 2-3 Avg Rate and Trig Calc'!G17),2,IF(AND(I20&lt;'Step 2-3 Avg Rate and Trig Calc'!G17,I21&gt;='Step 2-3 Avg Rate and Trig Calc'!G17),3,IF(AND(I21&lt;'Step 2-3 Avg Rate and Trig Calc'!G17,I22&gt;='Step 2-3 Avg Rate and Trig Calc'!G17),4,IF(AND(I22&lt;'Step 2-3 Avg Rate and Trig Calc'!G17,I23&gt;='Step 2-3 Avg Rate and Trig Calc'!G17),5,IF(AND(I23&lt;'Step 2-3 Avg Rate and Trig Calc'!G17,I24&gt;='Step 2-3 Avg Rate and Trig Calc'!G17),6,IF(AND(I24&lt;'Step 2-3 Avg Rate and Trig Calc'!G17,I25&gt;='Step 2-3 Avg Rate and Trig Calc'!G17),7,IF(AND(I25&lt;'Step 2-3 Avg Rate and Trig Calc'!G17,I26&gt;='Step 2-3 Avg Rate and Trig Calc'!G17),8,IF(AND(I26&lt;'Step 2-3 Avg Rate and Trig Calc'!G17,I27&gt;='Step 2-3 Avg Rate and Trig Calc'!G17),9,IF(AND(I27&lt;'Step 2-3 Avg Rate and Trig Calc'!G17,I28&gt;='Step 2-3 Avg Rate and Trig Calc'!G17),10,IF(I28&lt;'Step 2-3 Avg Rate and Trig Calc'!G17,"&gt;10", ERROR)))))))))))</f>
        <v>5</v>
      </c>
      <c r="L30" s="323"/>
    </row>
    <row r="31" spans="2:12" ht="16.5" thickTop="1" x14ac:dyDescent="0.25">
      <c r="B31" s="324"/>
      <c r="D31" s="26"/>
      <c r="E31" s="26"/>
      <c r="F31" s="26"/>
      <c r="G31" s="26"/>
      <c r="H31" s="26"/>
      <c r="I31" s="26"/>
      <c r="J31" s="26"/>
      <c r="K31" s="26"/>
    </row>
  </sheetData>
  <sheetProtection password="CA8F" sheet="1" objects="1" scenarios="1" selectLockedCells="1"/>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O22"/>
  <sheetViews>
    <sheetView tabSelected="1" zoomScaleNormal="100" workbookViewId="0">
      <selection activeCell="I15" sqref="I15:I16"/>
    </sheetView>
  </sheetViews>
  <sheetFormatPr defaultRowHeight="15" x14ac:dyDescent="0.25"/>
  <cols>
    <col min="1" max="1" width="9.140625" style="3"/>
    <col min="2" max="2" width="10.85546875" style="3" bestFit="1" customWidth="1"/>
    <col min="3" max="5" width="9.140625" style="3"/>
    <col min="6" max="6" width="12.85546875" style="3" bestFit="1" customWidth="1"/>
    <col min="7" max="7" width="9.140625" style="3"/>
    <col min="8" max="8" width="3.7109375" style="3" customWidth="1"/>
    <col min="9" max="9" width="13.42578125" style="3" bestFit="1" customWidth="1"/>
    <col min="10" max="16384" width="9.140625" style="3"/>
  </cols>
  <sheetData>
    <row r="1" spans="1:15" ht="9.9499999999999993" customHeight="1" x14ac:dyDescent="0.25">
      <c r="A1" s="388" t="s">
        <v>217</v>
      </c>
      <c r="B1" s="388"/>
      <c r="C1" s="388"/>
      <c r="D1" s="388"/>
      <c r="E1" s="388"/>
      <c r="F1" s="388"/>
      <c r="G1" s="388"/>
      <c r="H1" s="388"/>
      <c r="I1" s="388"/>
      <c r="J1" s="388"/>
      <c r="K1" s="388"/>
      <c r="L1" s="388"/>
      <c r="M1" s="388"/>
      <c r="N1" s="388"/>
      <c r="O1" s="388"/>
    </row>
    <row r="2" spans="1:15" ht="15" customHeight="1" x14ac:dyDescent="0.25">
      <c r="A2" s="388"/>
      <c r="B2" s="388"/>
      <c r="C2" s="388"/>
      <c r="D2" s="388"/>
      <c r="E2" s="388"/>
      <c r="F2" s="388"/>
      <c r="G2" s="388"/>
      <c r="H2" s="388"/>
      <c r="I2" s="388"/>
      <c r="J2" s="388"/>
      <c r="K2" s="388"/>
      <c r="L2" s="388"/>
      <c r="M2" s="388"/>
      <c r="N2" s="388"/>
      <c r="O2" s="388"/>
    </row>
    <row r="3" spans="1:15" ht="15.75" customHeight="1" thickBot="1" x14ac:dyDescent="0.3">
      <c r="A3" s="388"/>
      <c r="B3" s="388"/>
      <c r="C3" s="388"/>
      <c r="D3" s="388"/>
      <c r="E3" s="388"/>
      <c r="F3" s="388"/>
      <c r="G3" s="388"/>
      <c r="H3" s="388"/>
      <c r="I3" s="388"/>
      <c r="J3" s="388"/>
      <c r="K3" s="388"/>
      <c r="L3" s="388"/>
      <c r="M3" s="388"/>
      <c r="N3" s="388"/>
      <c r="O3" s="388"/>
    </row>
    <row r="4" spans="1:15" ht="24" thickTop="1" x14ac:dyDescent="0.35">
      <c r="B4" s="118" t="s">
        <v>127</v>
      </c>
      <c r="C4" s="8"/>
      <c r="D4" s="8"/>
      <c r="E4" s="8"/>
      <c r="F4" s="8"/>
      <c r="G4" s="8"/>
      <c r="H4" s="8"/>
      <c r="I4" s="8"/>
      <c r="J4" s="8"/>
      <c r="K4" s="8"/>
      <c r="L4" s="8"/>
      <c r="M4" s="8"/>
      <c r="N4" s="9"/>
    </row>
    <row r="5" spans="1:15" ht="18.75" x14ac:dyDescent="0.3">
      <c r="B5" s="18"/>
      <c r="C5" s="11"/>
      <c r="D5" s="11"/>
      <c r="E5" s="11"/>
      <c r="F5" s="11"/>
      <c r="G5" s="12" t="s">
        <v>118</v>
      </c>
      <c r="H5" s="11"/>
      <c r="I5" s="11"/>
      <c r="J5" s="11"/>
      <c r="K5" s="11"/>
      <c r="L5" s="11"/>
      <c r="M5" s="11"/>
      <c r="N5" s="13"/>
    </row>
    <row r="6" spans="1:15" x14ac:dyDescent="0.25">
      <c r="B6" s="14"/>
      <c r="C6" s="15"/>
      <c r="D6" s="16"/>
      <c r="E6" s="16"/>
      <c r="F6" s="16"/>
      <c r="G6" s="16"/>
      <c r="H6" s="16"/>
      <c r="I6" s="16"/>
      <c r="J6" s="16"/>
      <c r="K6" s="16"/>
      <c r="L6" s="16"/>
      <c r="M6" s="16"/>
      <c r="N6" s="17"/>
    </row>
    <row r="7" spans="1:15" ht="18.75" x14ac:dyDescent="0.3">
      <c r="B7" s="18"/>
      <c r="C7" s="11"/>
      <c r="D7" s="11"/>
      <c r="E7" s="11"/>
      <c r="F7" s="11"/>
      <c r="G7" s="12" t="s">
        <v>216</v>
      </c>
      <c r="H7" s="11"/>
      <c r="I7" s="11"/>
      <c r="J7" s="11"/>
      <c r="K7" s="11"/>
      <c r="L7" s="11"/>
      <c r="M7" s="11"/>
      <c r="N7" s="13"/>
    </row>
    <row r="8" spans="1:15" x14ac:dyDescent="0.25">
      <c r="B8" s="14"/>
      <c r="C8" s="16"/>
      <c r="D8" s="16"/>
      <c r="E8" s="16"/>
      <c r="F8" s="16"/>
      <c r="G8" s="16"/>
      <c r="H8" s="16"/>
      <c r="I8" s="16"/>
      <c r="J8" s="16"/>
      <c r="K8" s="16"/>
      <c r="L8" s="16"/>
      <c r="M8" s="16"/>
      <c r="N8" s="17"/>
    </row>
    <row r="9" spans="1:15" ht="18.75" x14ac:dyDescent="0.3">
      <c r="B9" s="18"/>
      <c r="C9" s="11"/>
      <c r="D9" s="11"/>
      <c r="E9" s="11"/>
      <c r="F9" s="11"/>
      <c r="G9" s="12" t="s">
        <v>266</v>
      </c>
      <c r="H9" s="11"/>
      <c r="I9" s="11"/>
      <c r="J9" s="11"/>
      <c r="K9" s="11"/>
      <c r="L9" s="11"/>
      <c r="M9" s="11"/>
      <c r="N9" s="13"/>
    </row>
    <row r="10" spans="1:15" ht="18.75" x14ac:dyDescent="0.3">
      <c r="B10" s="18"/>
      <c r="C10" s="11"/>
      <c r="D10" s="11"/>
      <c r="E10" s="11"/>
      <c r="F10" s="11"/>
      <c r="G10" s="12" t="s">
        <v>267</v>
      </c>
      <c r="H10" s="11"/>
      <c r="I10" s="11"/>
      <c r="J10" s="11"/>
      <c r="K10" s="11"/>
      <c r="L10" s="11"/>
      <c r="M10" s="11"/>
      <c r="N10" s="13"/>
    </row>
    <row r="11" spans="1:15" x14ac:dyDescent="0.25">
      <c r="B11" s="14"/>
      <c r="C11" s="16"/>
      <c r="D11" s="16"/>
      <c r="E11" s="16"/>
      <c r="F11" s="16"/>
      <c r="G11" s="16"/>
      <c r="H11" s="16"/>
      <c r="I11" s="16"/>
      <c r="J11" s="16"/>
      <c r="K11" s="16"/>
      <c r="L11" s="16"/>
      <c r="M11" s="16"/>
      <c r="N11" s="17"/>
    </row>
    <row r="12" spans="1:15" ht="18.75" x14ac:dyDescent="0.3">
      <c r="B12" s="18"/>
      <c r="C12" s="11"/>
      <c r="D12" s="11"/>
      <c r="E12" s="11"/>
      <c r="F12" s="11"/>
      <c r="G12" s="12" t="s">
        <v>215</v>
      </c>
      <c r="H12" s="11"/>
      <c r="I12" s="389">
        <v>1</v>
      </c>
      <c r="J12" s="391" t="str">
        <f>IF(OR(AND(I12&gt;=0.5,I12&lt;=3),I12=""),"","ERROR")</f>
        <v/>
      </c>
      <c r="K12" s="11"/>
      <c r="L12" s="11"/>
      <c r="M12" s="11"/>
      <c r="N12" s="13"/>
    </row>
    <row r="13" spans="1:15" ht="18.75" x14ac:dyDescent="0.3">
      <c r="B13" s="18"/>
      <c r="C13" s="11"/>
      <c r="D13" s="11"/>
      <c r="E13" s="11"/>
      <c r="F13" s="11"/>
      <c r="G13" s="12" t="s">
        <v>214</v>
      </c>
      <c r="H13" s="11"/>
      <c r="I13" s="390"/>
      <c r="J13" s="391"/>
      <c r="K13" s="11"/>
      <c r="L13" s="11"/>
      <c r="M13" s="11"/>
      <c r="N13" s="13"/>
    </row>
    <row r="14" spans="1:15" x14ac:dyDescent="0.25">
      <c r="B14" s="14"/>
      <c r="C14" s="16"/>
      <c r="D14" s="16"/>
      <c r="E14" s="16"/>
      <c r="F14" s="16"/>
      <c r="G14" s="16"/>
      <c r="H14" s="16"/>
      <c r="I14" s="16"/>
      <c r="J14" s="16"/>
      <c r="K14" s="16"/>
      <c r="L14" s="16"/>
      <c r="M14" s="16"/>
      <c r="N14" s="17"/>
    </row>
    <row r="15" spans="1:15" ht="18.75" x14ac:dyDescent="0.3">
      <c r="B15" s="18"/>
      <c r="C15" s="11"/>
      <c r="D15" s="11"/>
      <c r="E15" s="11"/>
      <c r="F15" s="11"/>
      <c r="G15" s="12" t="s">
        <v>213</v>
      </c>
      <c r="H15" s="11"/>
      <c r="I15" s="389">
        <v>1.5</v>
      </c>
      <c r="J15" s="391" t="str">
        <f>IF(OR(I15&lt;=I12,I15&lt;0.5,I15&gt;3),"ERROR",IF(J12="ERROR","ERROR",""))</f>
        <v/>
      </c>
      <c r="K15" s="11"/>
      <c r="L15" s="11"/>
      <c r="M15" s="11"/>
      <c r="N15" s="13"/>
    </row>
    <row r="16" spans="1:15" ht="18.75" x14ac:dyDescent="0.3">
      <c r="B16" s="18"/>
      <c r="C16" s="46"/>
      <c r="D16" s="11"/>
      <c r="E16" s="47" t="str">
        <f>"**("&amp;$I$12</f>
        <v>**(1</v>
      </c>
      <c r="F16" s="48" t="s">
        <v>255</v>
      </c>
      <c r="G16" s="46"/>
      <c r="H16" s="11"/>
      <c r="I16" s="390"/>
      <c r="J16" s="391"/>
      <c r="K16" s="11"/>
      <c r="L16" s="11"/>
      <c r="M16" s="11"/>
      <c r="N16" s="13"/>
    </row>
    <row r="17" spans="2:14" x14ac:dyDescent="0.25">
      <c r="B17" s="14"/>
      <c r="C17" s="16"/>
      <c r="D17" s="16"/>
      <c r="E17" s="16"/>
      <c r="F17" s="16"/>
      <c r="G17" s="16"/>
      <c r="H17" s="16"/>
      <c r="I17" s="16"/>
      <c r="J17" s="16"/>
      <c r="K17" s="16"/>
      <c r="L17" s="16"/>
      <c r="M17" s="16"/>
      <c r="N17" s="17"/>
    </row>
    <row r="18" spans="2:14" ht="15.75" thickBot="1" x14ac:dyDescent="0.3">
      <c r="B18" s="14"/>
      <c r="C18" s="16"/>
      <c r="D18" s="16"/>
      <c r="E18" s="16"/>
      <c r="F18" s="16"/>
      <c r="G18" s="16"/>
      <c r="H18" s="16"/>
      <c r="I18" s="16"/>
      <c r="J18" s="16"/>
      <c r="K18" s="16"/>
      <c r="L18" s="16"/>
      <c r="M18" s="16"/>
      <c r="N18" s="17"/>
    </row>
    <row r="19" spans="2:14" ht="35.25" customHeight="1" thickBot="1" x14ac:dyDescent="0.45">
      <c r="B19" s="105"/>
      <c r="C19" s="106"/>
      <c r="D19" s="107"/>
      <c r="E19" s="107"/>
      <c r="F19" s="107"/>
      <c r="G19" s="108" t="s">
        <v>212</v>
      </c>
      <c r="H19" s="107"/>
      <c r="I19" s="109">
        <f>IF(OR(J12="ERROR",J15="ERROR"),"ERROR",'AFR Calculation'!M19)</f>
        <v>1.2094512253136017E-2</v>
      </c>
      <c r="J19" s="110" t="str">
        <f>"  of Taxable Wages for "&amp;'AFR Calculation'!I3</f>
        <v xml:space="preserve">  of Taxable Wages for 2016</v>
      </c>
      <c r="K19" s="107"/>
      <c r="L19" s="107"/>
      <c r="M19" s="107"/>
      <c r="N19" s="111"/>
    </row>
    <row r="20" spans="2:14" x14ac:dyDescent="0.25">
      <c r="B20" s="112"/>
      <c r="C20" s="113"/>
      <c r="D20" s="113"/>
      <c r="E20" s="113"/>
      <c r="F20" s="113"/>
      <c r="G20" s="113"/>
      <c r="H20" s="113"/>
      <c r="I20" s="113"/>
      <c r="J20" s="113"/>
      <c r="K20" s="113"/>
      <c r="L20" s="113"/>
      <c r="M20" s="113"/>
      <c r="N20" s="114"/>
    </row>
    <row r="21" spans="2:14" ht="15.75" thickBot="1" x14ac:dyDescent="0.3">
      <c r="B21" s="115"/>
      <c r="C21" s="116"/>
      <c r="D21" s="116"/>
      <c r="E21" s="116"/>
      <c r="F21" s="116"/>
      <c r="G21" s="116"/>
      <c r="H21" s="116"/>
      <c r="I21" s="116"/>
      <c r="J21" s="116"/>
      <c r="K21" s="116"/>
      <c r="L21" s="116"/>
      <c r="M21" s="116"/>
      <c r="N21" s="117"/>
    </row>
    <row r="22" spans="2:14" ht="15.75" thickTop="1" x14ac:dyDescent="0.25"/>
  </sheetData>
  <sheetProtection password="CA8F" sheet="1" objects="1" scenarios="1" selectLockedCells="1"/>
  <mergeCells count="5">
    <mergeCell ref="I12:I13"/>
    <mergeCell ref="J12:J13"/>
    <mergeCell ref="I15:I16"/>
    <mergeCell ref="J15:J16"/>
    <mergeCell ref="A1:O3"/>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Drop Down 1">
              <controlPr defaultSize="0" autoLine="0" autoPict="0">
                <anchor>
                  <from>
                    <xdr:col>7</xdr:col>
                    <xdr:colOff>133350</xdr:colOff>
                    <xdr:row>3</xdr:row>
                    <xdr:rowOff>257175</xdr:rowOff>
                  </from>
                  <to>
                    <xdr:col>9</xdr:col>
                    <xdr:colOff>476250</xdr:colOff>
                    <xdr:row>4</xdr:row>
                    <xdr:rowOff>200025</xdr:rowOff>
                  </to>
                </anchor>
              </controlPr>
            </control>
          </mc:Choice>
        </mc:AlternateContent>
        <mc:AlternateContent xmlns:mc="http://schemas.openxmlformats.org/markup-compatibility/2006">
          <mc:Choice Requires="x14">
            <control shapeId="4098" r:id="rId5" name="Drop Down 2">
              <controlPr defaultSize="0" autoLine="0" autoPict="0">
                <anchor>
                  <from>
                    <xdr:col>7</xdr:col>
                    <xdr:colOff>142875</xdr:colOff>
                    <xdr:row>5</xdr:row>
                    <xdr:rowOff>152400</xdr:rowOff>
                  </from>
                  <to>
                    <xdr:col>9</xdr:col>
                    <xdr:colOff>238125</xdr:colOff>
                    <xdr:row>6</xdr:row>
                    <xdr:rowOff>200025</xdr:rowOff>
                  </to>
                </anchor>
              </controlPr>
            </control>
          </mc:Choice>
        </mc:AlternateContent>
        <mc:AlternateContent xmlns:mc="http://schemas.openxmlformats.org/markup-compatibility/2006">
          <mc:Choice Requires="x14">
            <control shapeId="4099" r:id="rId6" name="Drop Down 3">
              <controlPr defaultSize="0" autoLine="0" autoPict="0">
                <anchor>
                  <from>
                    <xdr:col>8</xdr:col>
                    <xdr:colOff>9525</xdr:colOff>
                    <xdr:row>8</xdr:row>
                    <xdr:rowOff>47625</xdr:rowOff>
                  </from>
                  <to>
                    <xdr:col>8</xdr:col>
                    <xdr:colOff>638175</xdr:colOff>
                    <xdr:row>9</xdr:row>
                    <xdr:rowOff>38100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L1909"/>
  <sheetViews>
    <sheetView workbookViewId="0">
      <pane xSplit="2" ySplit="1" topLeftCell="C1735" activePane="bottomRight" state="frozen"/>
      <selection activeCell="H34" sqref="H34"/>
      <selection pane="topRight" activeCell="H34" sqref="H34"/>
      <selection pane="bottomLeft" activeCell="H34" sqref="H34"/>
      <selection pane="bottomRight" sqref="A1:XFD1048576"/>
    </sheetView>
  </sheetViews>
  <sheetFormatPr defaultRowHeight="15" x14ac:dyDescent="0.25"/>
  <cols>
    <col min="1" max="1" width="5" style="49" bestFit="1" customWidth="1"/>
    <col min="2" max="2" width="5.5703125" style="330" bestFit="1" customWidth="1"/>
    <col min="3" max="3" width="16.7109375" style="199" bestFit="1" customWidth="1"/>
    <col min="4" max="4" width="19.28515625" style="199" bestFit="1" customWidth="1"/>
    <col min="5" max="5" width="19.28515625" style="199" customWidth="1"/>
    <col min="6" max="6" width="22.85546875" style="199" bestFit="1" customWidth="1"/>
    <col min="7" max="7" width="22.85546875" style="332" customWidth="1"/>
    <col min="8" max="8" width="20" style="199" bestFit="1" customWidth="1"/>
    <col min="9" max="9" width="10.140625" style="199" bestFit="1" customWidth="1"/>
    <col min="10" max="10" width="10.85546875" style="199" bestFit="1" customWidth="1"/>
    <col min="11" max="11" width="39" style="333" bestFit="1" customWidth="1"/>
    <col min="12" max="12" width="5.85546875" style="335" bestFit="1" customWidth="1"/>
    <col min="13" max="16384" width="9.140625" style="50"/>
  </cols>
  <sheetData>
    <row r="1" spans="1:12" x14ac:dyDescent="0.25">
      <c r="A1" s="325" t="s">
        <v>0</v>
      </c>
      <c r="B1" s="326" t="s">
        <v>1</v>
      </c>
      <c r="C1" s="327" t="s">
        <v>55</v>
      </c>
      <c r="D1" s="327" t="s">
        <v>56</v>
      </c>
      <c r="E1" s="327" t="s">
        <v>123</v>
      </c>
      <c r="F1" s="327" t="s">
        <v>57</v>
      </c>
      <c r="G1" s="328" t="s">
        <v>128</v>
      </c>
      <c r="H1" s="327" t="s">
        <v>58</v>
      </c>
      <c r="I1" s="327" t="s">
        <v>59</v>
      </c>
      <c r="J1" s="327" t="s">
        <v>121</v>
      </c>
      <c r="K1" s="329" t="s">
        <v>60</v>
      </c>
      <c r="L1" s="329" t="s">
        <v>61</v>
      </c>
    </row>
    <row r="2" spans="1:12" ht="15" customHeight="1" x14ac:dyDescent="0.25">
      <c r="A2" s="49">
        <v>1980</v>
      </c>
      <c r="B2" s="330" t="s">
        <v>2</v>
      </c>
      <c r="C2" s="331">
        <v>2696087299</v>
      </c>
      <c r="D2" s="331">
        <v>1345889948</v>
      </c>
      <c r="E2" s="331">
        <v>65341809</v>
      </c>
      <c r="F2" s="331">
        <v>44134</v>
      </c>
      <c r="G2" s="332">
        <f t="shared" ref="G2:G65" si="0">F2/C2</f>
        <v>1.6369647977040523E-5</v>
      </c>
      <c r="H2" s="331">
        <v>92356</v>
      </c>
      <c r="I2" s="331">
        <v>0</v>
      </c>
      <c r="J2" s="331">
        <f t="shared" ref="J2:J65" si="1">H2-I2</f>
        <v>92356</v>
      </c>
      <c r="K2" s="199">
        <v>4.8499999999999996</v>
      </c>
      <c r="L2" s="199">
        <v>3.37</v>
      </c>
    </row>
    <row r="3" spans="1:12" ht="15" customHeight="1" x14ac:dyDescent="0.25">
      <c r="A3" s="49">
        <v>1981</v>
      </c>
      <c r="B3" s="330" t="s">
        <v>2</v>
      </c>
      <c r="C3" s="331">
        <v>3296363642</v>
      </c>
      <c r="D3" s="331">
        <v>1811372495</v>
      </c>
      <c r="E3" s="331">
        <v>75504409</v>
      </c>
      <c r="F3" s="331">
        <v>58093</v>
      </c>
      <c r="G3" s="332">
        <f t="shared" si="0"/>
        <v>1.7623359043225364E-5</v>
      </c>
      <c r="H3" s="331">
        <v>111654</v>
      </c>
      <c r="I3" s="331">
        <v>0</v>
      </c>
      <c r="J3" s="331">
        <f t="shared" si="1"/>
        <v>111654</v>
      </c>
      <c r="K3" s="199">
        <v>4.17</v>
      </c>
      <c r="L3" s="199">
        <v>3.22</v>
      </c>
    </row>
    <row r="4" spans="1:12" ht="15" customHeight="1" x14ac:dyDescent="0.25">
      <c r="A4" s="49">
        <v>1982</v>
      </c>
      <c r="B4" s="330" t="s">
        <v>2</v>
      </c>
      <c r="C4" s="331">
        <v>3904635534</v>
      </c>
      <c r="D4" s="331">
        <v>2211310256</v>
      </c>
      <c r="E4" s="331">
        <v>88161533</v>
      </c>
      <c r="F4" s="331">
        <v>71159</v>
      </c>
      <c r="G4" s="332">
        <f t="shared" si="0"/>
        <v>1.8224236136862448E-5</v>
      </c>
      <c r="H4" s="331">
        <v>133984</v>
      </c>
      <c r="I4" s="331">
        <v>0</v>
      </c>
      <c r="J4" s="331">
        <f t="shared" si="1"/>
        <v>133984</v>
      </c>
      <c r="K4" s="199">
        <v>3.99</v>
      </c>
      <c r="L4" s="199">
        <v>3.16</v>
      </c>
    </row>
    <row r="5" spans="1:12" ht="15" customHeight="1" x14ac:dyDescent="0.25">
      <c r="A5" s="49">
        <v>1983</v>
      </c>
      <c r="B5" s="330" t="s">
        <v>2</v>
      </c>
      <c r="C5" s="331">
        <v>4295492365</v>
      </c>
      <c r="D5" s="331">
        <v>2819398124</v>
      </c>
      <c r="E5" s="331">
        <v>85266800</v>
      </c>
      <c r="F5" s="331">
        <v>81720</v>
      </c>
      <c r="G5" s="332">
        <f t="shared" si="0"/>
        <v>1.9024594401764232E-5</v>
      </c>
      <c r="H5" s="331">
        <v>145083</v>
      </c>
      <c r="I5" s="331">
        <v>0</v>
      </c>
      <c r="J5" s="331">
        <f t="shared" si="1"/>
        <v>145083</v>
      </c>
      <c r="K5" s="199">
        <v>3.02</v>
      </c>
      <c r="L5" s="199">
        <v>3.16</v>
      </c>
    </row>
    <row r="6" spans="1:12" ht="15" customHeight="1" x14ac:dyDescent="0.25">
      <c r="A6" s="49">
        <v>1984</v>
      </c>
      <c r="B6" s="330" t="s">
        <v>2</v>
      </c>
      <c r="C6" s="331">
        <v>4458579168</v>
      </c>
      <c r="D6" s="331">
        <v>3021792258</v>
      </c>
      <c r="E6" s="331">
        <v>97101362</v>
      </c>
      <c r="F6" s="331">
        <v>87617</v>
      </c>
      <c r="G6" s="332">
        <f t="shared" si="0"/>
        <v>1.965132763119751E-5</v>
      </c>
      <c r="H6" s="331">
        <v>165811</v>
      </c>
      <c r="I6" s="331">
        <v>0</v>
      </c>
      <c r="J6" s="331">
        <f t="shared" si="1"/>
        <v>165811</v>
      </c>
      <c r="K6" s="199">
        <v>3.21</v>
      </c>
      <c r="L6" s="199">
        <v>3.16</v>
      </c>
    </row>
    <row r="7" spans="1:12" ht="15" customHeight="1" x14ac:dyDescent="0.25">
      <c r="A7" s="49">
        <v>1985</v>
      </c>
      <c r="B7" s="330" t="s">
        <v>2</v>
      </c>
      <c r="C7" s="331">
        <v>4443506166</v>
      </c>
      <c r="D7" s="331">
        <v>3025289198</v>
      </c>
      <c r="E7" s="331">
        <v>84516045</v>
      </c>
      <c r="F7" s="331">
        <v>109486</v>
      </c>
      <c r="G7" s="332">
        <f t="shared" si="0"/>
        <v>2.4639551721058646E-5</v>
      </c>
      <c r="H7" s="331">
        <v>152553</v>
      </c>
      <c r="I7" s="331">
        <v>0</v>
      </c>
      <c r="J7" s="331">
        <f t="shared" si="1"/>
        <v>152553</v>
      </c>
      <c r="K7" s="199">
        <v>2.79</v>
      </c>
      <c r="L7" s="199">
        <v>3.25</v>
      </c>
    </row>
    <row r="8" spans="1:12" ht="15" customHeight="1" x14ac:dyDescent="0.25">
      <c r="A8" s="49">
        <v>1986</v>
      </c>
      <c r="B8" s="330" t="s">
        <v>2</v>
      </c>
      <c r="C8" s="331">
        <v>4059991635</v>
      </c>
      <c r="D8" s="331">
        <v>2766488143</v>
      </c>
      <c r="E8" s="331">
        <v>79079441</v>
      </c>
      <c r="F8" s="331">
        <v>137850</v>
      </c>
      <c r="G8" s="332">
        <f t="shared" si="0"/>
        <v>3.3953271925891545E-5</v>
      </c>
      <c r="H8" s="331">
        <v>91357</v>
      </c>
      <c r="I8" s="331">
        <v>0</v>
      </c>
      <c r="J8" s="331">
        <f t="shared" si="1"/>
        <v>91357</v>
      </c>
      <c r="K8" s="199">
        <v>2.86</v>
      </c>
      <c r="L8" s="199">
        <v>3.61</v>
      </c>
    </row>
    <row r="9" spans="1:12" ht="15" customHeight="1" x14ac:dyDescent="0.25">
      <c r="A9" s="49">
        <v>1987</v>
      </c>
      <c r="B9" s="330" t="s">
        <v>2</v>
      </c>
      <c r="C9" s="331">
        <v>3723245124</v>
      </c>
      <c r="D9" s="331">
        <v>2517828929</v>
      </c>
      <c r="E9" s="331">
        <v>87239361</v>
      </c>
      <c r="F9" s="331">
        <v>110313</v>
      </c>
      <c r="G9" s="332">
        <f t="shared" si="0"/>
        <v>2.9628186253148773E-5</v>
      </c>
      <c r="H9" s="331">
        <v>65399</v>
      </c>
      <c r="I9" s="331">
        <v>0</v>
      </c>
      <c r="J9" s="331">
        <f t="shared" si="1"/>
        <v>65399</v>
      </c>
      <c r="K9" s="199">
        <v>3.46</v>
      </c>
      <c r="L9" s="199">
        <v>3.61</v>
      </c>
    </row>
    <row r="10" spans="1:12" ht="15" customHeight="1" x14ac:dyDescent="0.25">
      <c r="A10" s="49">
        <v>1988</v>
      </c>
      <c r="B10" s="330" t="s">
        <v>2</v>
      </c>
      <c r="C10" s="331">
        <v>3824040603</v>
      </c>
      <c r="D10" s="331">
        <v>2551897198</v>
      </c>
      <c r="E10" s="331">
        <v>112629815</v>
      </c>
      <c r="F10" s="331">
        <v>81665</v>
      </c>
      <c r="G10" s="332">
        <f t="shared" si="0"/>
        <v>2.1355683288491483E-5</v>
      </c>
      <c r="H10" s="331">
        <v>95237</v>
      </c>
      <c r="I10" s="331">
        <v>0</v>
      </c>
      <c r="J10" s="331">
        <f t="shared" si="1"/>
        <v>95237</v>
      </c>
      <c r="K10" s="199">
        <v>4.41</v>
      </c>
      <c r="L10" s="199">
        <v>3.61</v>
      </c>
    </row>
    <row r="11" spans="1:12" ht="15" customHeight="1" x14ac:dyDescent="0.25">
      <c r="A11" s="49">
        <v>1989</v>
      </c>
      <c r="B11" s="330" t="s">
        <v>2</v>
      </c>
      <c r="C11" s="331">
        <v>4454982116</v>
      </c>
      <c r="D11" s="331">
        <v>2966717522</v>
      </c>
      <c r="E11" s="331">
        <v>147571825</v>
      </c>
      <c r="F11" s="331">
        <v>68011</v>
      </c>
      <c r="G11" s="332">
        <f t="shared" si="0"/>
        <v>1.5266279017314017E-5</v>
      </c>
      <c r="H11" s="331">
        <v>179973</v>
      </c>
      <c r="I11" s="331">
        <v>0</v>
      </c>
      <c r="J11" s="331">
        <f t="shared" si="1"/>
        <v>179973</v>
      </c>
      <c r="K11" s="199">
        <v>4.97</v>
      </c>
      <c r="L11" s="199">
        <v>3.61</v>
      </c>
    </row>
    <row r="12" spans="1:12" ht="15" customHeight="1" x14ac:dyDescent="0.25">
      <c r="A12" s="49">
        <v>1990</v>
      </c>
      <c r="B12" s="330" t="s">
        <v>2</v>
      </c>
      <c r="C12" s="331">
        <v>4694293635</v>
      </c>
      <c r="D12" s="331">
        <v>3039461188</v>
      </c>
      <c r="E12" s="331">
        <v>126365131</v>
      </c>
      <c r="F12" s="331">
        <v>87941</v>
      </c>
      <c r="G12" s="332">
        <f t="shared" si="0"/>
        <v>1.8733595901271309E-5</v>
      </c>
      <c r="H12" s="331">
        <v>232676</v>
      </c>
      <c r="I12" s="331">
        <v>0</v>
      </c>
      <c r="J12" s="331">
        <f t="shared" si="1"/>
        <v>232676</v>
      </c>
      <c r="K12" s="199">
        <v>4.16</v>
      </c>
      <c r="L12" s="199">
        <v>3.61</v>
      </c>
    </row>
    <row r="13" spans="1:12" ht="15" customHeight="1" x14ac:dyDescent="0.25">
      <c r="A13" s="49">
        <v>1991</v>
      </c>
      <c r="B13" s="330" t="s">
        <v>2</v>
      </c>
      <c r="C13" s="331">
        <v>4879707980</v>
      </c>
      <c r="D13" s="331">
        <v>3184120443</v>
      </c>
      <c r="E13" s="331">
        <v>100134839</v>
      </c>
      <c r="F13" s="331">
        <v>107992</v>
      </c>
      <c r="G13" s="332">
        <f t="shared" si="0"/>
        <v>2.2130832509366677E-5</v>
      </c>
      <c r="H13" s="331">
        <v>243155</v>
      </c>
      <c r="I13" s="331">
        <v>0</v>
      </c>
      <c r="J13" s="331">
        <f t="shared" si="1"/>
        <v>243155</v>
      </c>
      <c r="K13" s="199">
        <v>3.14</v>
      </c>
      <c r="L13" s="199">
        <v>3.61</v>
      </c>
    </row>
    <row r="14" spans="1:12" ht="15" customHeight="1" x14ac:dyDescent="0.25">
      <c r="A14" s="49">
        <v>1992</v>
      </c>
      <c r="B14" s="330" t="s">
        <v>2</v>
      </c>
      <c r="C14" s="331">
        <v>5078700303</v>
      </c>
      <c r="D14" s="331">
        <v>3264486711</v>
      </c>
      <c r="E14" s="331">
        <v>86631703</v>
      </c>
      <c r="F14" s="331">
        <v>116530</v>
      </c>
      <c r="G14" s="332">
        <f t="shared" si="0"/>
        <v>2.2944846722135869E-5</v>
      </c>
      <c r="H14" s="331">
        <v>232320</v>
      </c>
      <c r="I14" s="331">
        <v>0</v>
      </c>
      <c r="J14" s="331">
        <f t="shared" si="1"/>
        <v>232320</v>
      </c>
      <c r="K14" s="199">
        <v>2.65</v>
      </c>
      <c r="L14" s="199">
        <v>3.61</v>
      </c>
    </row>
    <row r="15" spans="1:12" ht="15" customHeight="1" x14ac:dyDescent="0.25">
      <c r="A15" s="49">
        <v>1993</v>
      </c>
      <c r="B15" s="330" t="s">
        <v>2</v>
      </c>
      <c r="C15" s="331">
        <v>5274043674</v>
      </c>
      <c r="D15" s="331">
        <v>3405963000</v>
      </c>
      <c r="E15" s="331">
        <v>86288045</v>
      </c>
      <c r="F15" s="331">
        <v>102420</v>
      </c>
      <c r="G15" s="332">
        <f t="shared" si="0"/>
        <v>1.9419634407828379E-5</v>
      </c>
      <c r="H15" s="331">
        <v>227911</v>
      </c>
      <c r="I15" s="331">
        <v>0</v>
      </c>
      <c r="J15" s="331">
        <f t="shared" si="1"/>
        <v>227911</v>
      </c>
      <c r="K15" s="199">
        <v>2.5299999999999998</v>
      </c>
      <c r="L15" s="199">
        <v>3.61</v>
      </c>
    </row>
    <row r="16" spans="1:12" ht="15" customHeight="1" x14ac:dyDescent="0.25">
      <c r="A16" s="49">
        <v>1994</v>
      </c>
      <c r="B16" s="330" t="s">
        <v>2</v>
      </c>
      <c r="C16" s="331">
        <v>5527581632</v>
      </c>
      <c r="D16" s="331">
        <v>3592649812</v>
      </c>
      <c r="E16" s="331">
        <v>91755106</v>
      </c>
      <c r="F16" s="331">
        <v>114340</v>
      </c>
      <c r="G16" s="332">
        <f t="shared" si="0"/>
        <v>2.0685357107721136E-5</v>
      </c>
      <c r="H16" s="331">
        <v>210563</v>
      </c>
      <c r="I16" s="331">
        <v>0</v>
      </c>
      <c r="J16" s="331">
        <f t="shared" si="1"/>
        <v>210563</v>
      </c>
      <c r="K16" s="199">
        <v>2.5499999999999998</v>
      </c>
      <c r="L16" s="199">
        <v>3.61</v>
      </c>
    </row>
    <row r="17" spans="1:12" ht="15" customHeight="1" x14ac:dyDescent="0.25">
      <c r="A17" s="49">
        <v>1995</v>
      </c>
      <c r="B17" s="330" t="s">
        <v>2</v>
      </c>
      <c r="C17" s="331">
        <v>5644394668</v>
      </c>
      <c r="D17" s="331">
        <v>3699217994</v>
      </c>
      <c r="E17" s="331">
        <v>96397871</v>
      </c>
      <c r="F17" s="331">
        <v>114124</v>
      </c>
      <c r="G17" s="332">
        <f t="shared" si="0"/>
        <v>2.0218997202128318E-5</v>
      </c>
      <c r="H17" s="331">
        <v>201017</v>
      </c>
      <c r="I17" s="331">
        <v>0</v>
      </c>
      <c r="J17" s="331">
        <f t="shared" si="1"/>
        <v>201017</v>
      </c>
      <c r="K17" s="199">
        <v>2.61</v>
      </c>
      <c r="L17" s="199">
        <v>3.61</v>
      </c>
    </row>
    <row r="18" spans="1:12" ht="15" customHeight="1" x14ac:dyDescent="0.25">
      <c r="A18" s="49">
        <v>1996</v>
      </c>
      <c r="B18" s="330" t="s">
        <v>2</v>
      </c>
      <c r="C18" s="331">
        <v>5723343028</v>
      </c>
      <c r="D18" s="331">
        <v>3740924745</v>
      </c>
      <c r="E18" s="331">
        <v>101031315</v>
      </c>
      <c r="F18" s="331">
        <v>113246</v>
      </c>
      <c r="G18" s="332">
        <f t="shared" si="0"/>
        <v>1.9786687508676789E-5</v>
      </c>
      <c r="H18" s="331">
        <v>194188</v>
      </c>
      <c r="I18" s="331">
        <v>0</v>
      </c>
      <c r="J18" s="331">
        <f t="shared" si="1"/>
        <v>194188</v>
      </c>
      <c r="K18" s="199">
        <v>2.7</v>
      </c>
      <c r="L18" s="199">
        <v>3.61</v>
      </c>
    </row>
    <row r="19" spans="1:12" ht="15" customHeight="1" x14ac:dyDescent="0.25">
      <c r="A19" s="49">
        <v>1997</v>
      </c>
      <c r="B19" s="330" t="s">
        <v>2</v>
      </c>
      <c r="C19" s="331">
        <v>5943889511</v>
      </c>
      <c r="D19" s="331">
        <v>3854021550</v>
      </c>
      <c r="E19" s="331">
        <v>111986396</v>
      </c>
      <c r="F19" s="331">
        <v>110858</v>
      </c>
      <c r="G19" s="332">
        <f t="shared" si="0"/>
        <v>1.8650750454705078E-5</v>
      </c>
      <c r="H19" s="331">
        <v>202416</v>
      </c>
      <c r="I19" s="331">
        <v>0</v>
      </c>
      <c r="J19" s="331">
        <f t="shared" si="1"/>
        <v>202416</v>
      </c>
      <c r="K19" s="199">
        <v>2.91</v>
      </c>
      <c r="L19" s="199">
        <v>3.52</v>
      </c>
    </row>
    <row r="20" spans="1:12" ht="15" customHeight="1" x14ac:dyDescent="0.25">
      <c r="A20" s="49">
        <v>1998</v>
      </c>
      <c r="B20" s="330" t="s">
        <v>2</v>
      </c>
      <c r="C20" s="331">
        <v>6275624317</v>
      </c>
      <c r="D20" s="331">
        <v>3993284747</v>
      </c>
      <c r="E20" s="331">
        <v>102205803</v>
      </c>
      <c r="F20" s="331">
        <v>102258</v>
      </c>
      <c r="G20" s="332">
        <f t="shared" si="0"/>
        <v>1.6294474435474719E-5</v>
      </c>
      <c r="H20" s="331">
        <v>212317</v>
      </c>
      <c r="I20" s="331">
        <v>0</v>
      </c>
      <c r="J20" s="331">
        <f t="shared" si="1"/>
        <v>212317</v>
      </c>
      <c r="K20" s="199">
        <v>2.56</v>
      </c>
      <c r="L20" s="199">
        <v>3.13</v>
      </c>
    </row>
    <row r="21" spans="1:12" ht="15" customHeight="1" x14ac:dyDescent="0.25">
      <c r="A21" s="49">
        <v>1999</v>
      </c>
      <c r="B21" s="330" t="s">
        <v>2</v>
      </c>
      <c r="C21" s="331">
        <v>6387059041</v>
      </c>
      <c r="D21" s="331">
        <v>4116037750</v>
      </c>
      <c r="E21" s="331">
        <v>101266337</v>
      </c>
      <c r="F21" s="331">
        <v>112626</v>
      </c>
      <c r="G21" s="332">
        <f t="shared" si="0"/>
        <v>1.7633467809993273E-5</v>
      </c>
      <c r="H21" s="331">
        <v>205167</v>
      </c>
      <c r="I21" s="331">
        <v>0</v>
      </c>
      <c r="J21" s="331">
        <f t="shared" si="1"/>
        <v>205167</v>
      </c>
      <c r="K21" s="199">
        <v>2.46</v>
      </c>
      <c r="L21" s="199">
        <v>3.13</v>
      </c>
    </row>
    <row r="22" spans="1:12" ht="15" customHeight="1" x14ac:dyDescent="0.25">
      <c r="A22" s="49">
        <v>2000</v>
      </c>
      <c r="B22" s="330" t="s">
        <v>2</v>
      </c>
      <c r="C22" s="331">
        <v>6787520502</v>
      </c>
      <c r="D22" s="331">
        <v>4391887934</v>
      </c>
      <c r="E22" s="331">
        <v>118447853</v>
      </c>
      <c r="F22" s="331">
        <v>101216</v>
      </c>
      <c r="G22" s="332">
        <f t="shared" si="0"/>
        <v>1.491207282102144E-5</v>
      </c>
      <c r="H22" s="331">
        <v>219199</v>
      </c>
      <c r="I22" s="331">
        <v>0</v>
      </c>
      <c r="J22" s="331">
        <f t="shared" si="1"/>
        <v>219199</v>
      </c>
      <c r="K22" s="199">
        <v>2.7</v>
      </c>
      <c r="L22" s="199">
        <v>3.13</v>
      </c>
    </row>
    <row r="23" spans="1:12" ht="15" customHeight="1" x14ac:dyDescent="0.25">
      <c r="A23" s="49">
        <v>2001</v>
      </c>
      <c r="B23" s="330" t="s">
        <v>2</v>
      </c>
      <c r="C23" s="331">
        <v>7236753547</v>
      </c>
      <c r="D23" s="331">
        <v>4566535639</v>
      </c>
      <c r="E23" s="331">
        <v>118652669</v>
      </c>
      <c r="F23" s="331">
        <v>102864</v>
      </c>
      <c r="G23" s="332">
        <f t="shared" si="0"/>
        <v>1.4214108485515903E-5</v>
      </c>
      <c r="H23" s="331">
        <v>231870</v>
      </c>
      <c r="I23" s="331">
        <v>0</v>
      </c>
      <c r="J23" s="331">
        <f t="shared" si="1"/>
        <v>231870</v>
      </c>
      <c r="K23" s="199">
        <v>2.6</v>
      </c>
      <c r="L23" s="199">
        <v>3.13</v>
      </c>
    </row>
    <row r="24" spans="1:12" ht="15" customHeight="1" x14ac:dyDescent="0.25">
      <c r="A24" s="49">
        <v>2002</v>
      </c>
      <c r="B24" s="330" t="s">
        <v>2</v>
      </c>
      <c r="C24" s="331">
        <v>7501379548</v>
      </c>
      <c r="D24" s="331">
        <v>4723284616</v>
      </c>
      <c r="E24" s="331">
        <v>118259243</v>
      </c>
      <c r="F24" s="331">
        <v>98333</v>
      </c>
      <c r="G24" s="332">
        <f t="shared" si="0"/>
        <v>1.3108655464076245E-5</v>
      </c>
      <c r="H24" s="331">
        <v>233286</v>
      </c>
      <c r="I24" s="331">
        <v>0</v>
      </c>
      <c r="J24" s="331">
        <f t="shared" si="1"/>
        <v>233286</v>
      </c>
      <c r="K24" s="199">
        <v>2.5</v>
      </c>
      <c r="L24" s="199">
        <v>3.13</v>
      </c>
    </row>
    <row r="25" spans="1:12" ht="15" customHeight="1" x14ac:dyDescent="0.25">
      <c r="A25" s="49">
        <v>2003</v>
      </c>
      <c r="B25" s="330" t="s">
        <v>2</v>
      </c>
      <c r="C25" s="331">
        <v>7731324910</v>
      </c>
      <c r="D25" s="331">
        <v>4875513928</v>
      </c>
      <c r="E25" s="331">
        <v>115499441</v>
      </c>
      <c r="F25" s="331">
        <v>123484</v>
      </c>
      <c r="G25" s="332">
        <f t="shared" si="0"/>
        <v>1.5971906683197461E-5</v>
      </c>
      <c r="H25" s="331">
        <v>193066</v>
      </c>
      <c r="I25" s="331">
        <v>0</v>
      </c>
      <c r="J25" s="331">
        <f t="shared" si="1"/>
        <v>193066</v>
      </c>
      <c r="K25" s="199">
        <v>2.37</v>
      </c>
      <c r="L25" s="199">
        <v>3.13</v>
      </c>
    </row>
    <row r="26" spans="1:12" ht="15" customHeight="1" x14ac:dyDescent="0.25">
      <c r="A26" s="49">
        <v>2004</v>
      </c>
      <c r="B26" s="330" t="s">
        <v>2</v>
      </c>
      <c r="C26" s="331">
        <v>8167938045</v>
      </c>
      <c r="D26" s="331">
        <v>5131620879</v>
      </c>
      <c r="E26" s="331">
        <v>137047726</v>
      </c>
      <c r="F26" s="331">
        <v>113863</v>
      </c>
      <c r="G26" s="332">
        <f t="shared" si="0"/>
        <v>1.3940237961244233E-5</v>
      </c>
      <c r="H26" s="331">
        <v>205951</v>
      </c>
      <c r="I26" s="331">
        <v>0</v>
      </c>
      <c r="J26" s="331">
        <f t="shared" si="1"/>
        <v>205951</v>
      </c>
      <c r="K26" s="199">
        <v>2.67</v>
      </c>
      <c r="L26" s="199">
        <v>3.13</v>
      </c>
    </row>
    <row r="27" spans="1:12" ht="15" customHeight="1" x14ac:dyDescent="0.25">
      <c r="A27" s="49">
        <v>2005</v>
      </c>
      <c r="B27" s="330" t="s">
        <v>2</v>
      </c>
      <c r="C27" s="331">
        <v>8623313344</v>
      </c>
      <c r="D27" s="331">
        <v>5438705627</v>
      </c>
      <c r="E27" s="331">
        <v>162916226</v>
      </c>
      <c r="F27" s="331">
        <v>107109</v>
      </c>
      <c r="G27" s="332">
        <f t="shared" si="0"/>
        <v>1.2420863736156032E-5</v>
      </c>
      <c r="H27" s="331">
        <v>233297</v>
      </c>
      <c r="I27" s="331">
        <v>0</v>
      </c>
      <c r="J27" s="331">
        <f t="shared" si="1"/>
        <v>233297</v>
      </c>
      <c r="K27" s="199">
        <v>3</v>
      </c>
      <c r="L27" s="199">
        <v>3.13</v>
      </c>
    </row>
    <row r="28" spans="1:12" ht="15" customHeight="1" x14ac:dyDescent="0.25">
      <c r="A28" s="49">
        <v>2006</v>
      </c>
      <c r="B28" s="330" t="s">
        <v>2</v>
      </c>
      <c r="C28" s="331">
        <v>9213138020</v>
      </c>
      <c r="D28" s="331">
        <v>5724508380</v>
      </c>
      <c r="E28" s="331">
        <v>168911836</v>
      </c>
      <c r="F28" s="331">
        <v>101613</v>
      </c>
      <c r="G28" s="332">
        <f t="shared" si="0"/>
        <v>1.1029141187228193E-5</v>
      </c>
      <c r="H28" s="331">
        <v>284520</v>
      </c>
      <c r="I28" s="331">
        <v>0</v>
      </c>
      <c r="J28" s="331">
        <f t="shared" si="1"/>
        <v>284520</v>
      </c>
      <c r="K28" s="199">
        <v>2.95</v>
      </c>
      <c r="L28" s="199">
        <v>3.13</v>
      </c>
    </row>
    <row r="29" spans="1:12" ht="15" customHeight="1" x14ac:dyDescent="0.25">
      <c r="A29" s="49">
        <v>2007</v>
      </c>
      <c r="B29" s="330" t="s">
        <v>2</v>
      </c>
      <c r="C29" s="331">
        <v>9884184917</v>
      </c>
      <c r="D29" s="331">
        <v>6075671544</v>
      </c>
      <c r="E29" s="331">
        <v>151157583</v>
      </c>
      <c r="F29" s="331">
        <v>94495</v>
      </c>
      <c r="G29" s="332">
        <f t="shared" si="0"/>
        <v>9.5602217879874167E-6</v>
      </c>
      <c r="H29" s="331">
        <v>331214</v>
      </c>
      <c r="I29" s="331">
        <v>0</v>
      </c>
      <c r="J29" s="331">
        <f t="shared" si="1"/>
        <v>331214</v>
      </c>
      <c r="K29" s="199">
        <v>2.4900000000000002</v>
      </c>
      <c r="L29" s="199">
        <v>3.13</v>
      </c>
    </row>
    <row r="30" spans="1:12" ht="15" customHeight="1" x14ac:dyDescent="0.25">
      <c r="A30" s="49">
        <v>2008</v>
      </c>
      <c r="B30" s="330" t="s">
        <v>2</v>
      </c>
      <c r="C30" s="331">
        <v>10514638895</v>
      </c>
      <c r="D30" s="331">
        <v>6395351208</v>
      </c>
      <c r="E30" s="331">
        <v>135454173</v>
      </c>
      <c r="F30" s="331">
        <v>99491</v>
      </c>
      <c r="G30" s="332">
        <f t="shared" si="0"/>
        <v>9.4621414005297605E-6</v>
      </c>
      <c r="H30" s="331">
        <v>353513</v>
      </c>
      <c r="I30" s="331">
        <v>0</v>
      </c>
      <c r="J30" s="331">
        <f t="shared" si="1"/>
        <v>353513</v>
      </c>
      <c r="K30" s="199">
        <v>2.1</v>
      </c>
      <c r="L30" s="199">
        <v>3.13</v>
      </c>
    </row>
    <row r="31" spans="1:12" ht="15" customHeight="1" x14ac:dyDescent="0.25">
      <c r="A31" s="49">
        <v>2009</v>
      </c>
      <c r="B31" s="330" t="s">
        <v>2</v>
      </c>
      <c r="C31" s="331">
        <v>10638653608</v>
      </c>
      <c r="D31" s="331">
        <v>6454091628</v>
      </c>
      <c r="E31" s="331">
        <v>119019455</v>
      </c>
      <c r="F31" s="331">
        <v>157507</v>
      </c>
      <c r="G31" s="332">
        <f t="shared" si="0"/>
        <v>1.4805162927906468E-5</v>
      </c>
      <c r="H31" s="331">
        <v>298439</v>
      </c>
      <c r="I31" s="331">
        <v>0</v>
      </c>
      <c r="J31" s="331">
        <f t="shared" si="1"/>
        <v>298439</v>
      </c>
      <c r="K31" s="199">
        <v>1.8</v>
      </c>
      <c r="L31" s="199">
        <v>2.2599999999999998</v>
      </c>
    </row>
    <row r="32" spans="1:12" ht="15" customHeight="1" x14ac:dyDescent="0.25">
      <c r="A32" s="49">
        <v>2010</v>
      </c>
      <c r="B32" s="330" t="s">
        <v>2</v>
      </c>
      <c r="C32" s="331">
        <v>10897213446</v>
      </c>
      <c r="D32" s="331">
        <v>6718220735</v>
      </c>
      <c r="E32" s="331">
        <v>130718749</v>
      </c>
      <c r="F32" s="331">
        <v>166992</v>
      </c>
      <c r="G32" s="332">
        <f t="shared" si="0"/>
        <v>1.5324284582247688E-5</v>
      </c>
      <c r="H32" s="331">
        <v>245403</v>
      </c>
      <c r="I32" s="331">
        <v>0</v>
      </c>
      <c r="J32" s="331">
        <f t="shared" si="1"/>
        <v>245403</v>
      </c>
      <c r="K32" s="199">
        <v>1.9</v>
      </c>
      <c r="L32" s="199">
        <v>2.2599999999999998</v>
      </c>
    </row>
    <row r="33" spans="1:12" ht="15" customHeight="1" x14ac:dyDescent="0.25">
      <c r="A33" s="49">
        <v>2011</v>
      </c>
      <c r="B33" s="330" t="s">
        <v>2</v>
      </c>
      <c r="C33" s="331">
        <v>11391755048</v>
      </c>
      <c r="D33" s="331">
        <v>6964443499</v>
      </c>
      <c r="E33" s="331">
        <v>173398775</v>
      </c>
      <c r="F33" s="331">
        <v>153734</v>
      </c>
      <c r="G33" s="332">
        <f t="shared" si="0"/>
        <v>1.3495198883072051E-5</v>
      </c>
      <c r="H33" s="331">
        <v>236417</v>
      </c>
      <c r="I33" s="331">
        <v>0</v>
      </c>
      <c r="J33" s="331">
        <f t="shared" si="1"/>
        <v>236417</v>
      </c>
      <c r="K33" s="199">
        <v>2.5</v>
      </c>
      <c r="L33" s="199">
        <v>2.2599999999999998</v>
      </c>
    </row>
    <row r="34" spans="1:12" ht="15" customHeight="1" x14ac:dyDescent="0.25">
      <c r="A34" s="49">
        <v>2012</v>
      </c>
      <c r="B34" s="330" t="s">
        <v>2</v>
      </c>
      <c r="C34" s="331">
        <v>11994543820</v>
      </c>
      <c r="D34" s="331">
        <v>7326231014</v>
      </c>
      <c r="E34" s="331">
        <v>222952527</v>
      </c>
      <c r="F34" s="331">
        <v>99999</v>
      </c>
      <c r="G34" s="332">
        <f t="shared" si="0"/>
        <v>8.3370406995603431E-6</v>
      </c>
      <c r="H34" s="331">
        <v>275938</v>
      </c>
      <c r="I34" s="331">
        <v>0</v>
      </c>
      <c r="J34" s="331">
        <f t="shared" si="1"/>
        <v>275938</v>
      </c>
      <c r="K34" s="199">
        <v>3.04</v>
      </c>
      <c r="L34" s="199">
        <v>2.2599999999999998</v>
      </c>
    </row>
    <row r="35" spans="1:12" ht="15" customHeight="1" x14ac:dyDescent="0.25">
      <c r="A35" s="49">
        <v>2013</v>
      </c>
      <c r="B35" s="330" t="s">
        <v>2</v>
      </c>
      <c r="C35" s="331">
        <v>12354414497</v>
      </c>
      <c r="D35" s="331">
        <v>7608268133</v>
      </c>
      <c r="E35" s="331">
        <v>253267443</v>
      </c>
      <c r="F35" s="331">
        <v>141255</v>
      </c>
      <c r="G35" s="332">
        <f t="shared" si="0"/>
        <v>1.1433564903808327E-5</v>
      </c>
      <c r="H35" s="331">
        <v>352537</v>
      </c>
      <c r="I35" s="331">
        <v>0</v>
      </c>
      <c r="J35" s="331">
        <f t="shared" si="1"/>
        <v>352537</v>
      </c>
      <c r="K35" s="199">
        <v>3.33</v>
      </c>
      <c r="L35" s="199">
        <v>2.2599999999999998</v>
      </c>
    </row>
    <row r="36" spans="1:12" x14ac:dyDescent="0.25">
      <c r="A36" s="49">
        <v>2014</v>
      </c>
      <c r="B36" s="330" t="s">
        <v>2</v>
      </c>
      <c r="C36" s="331">
        <v>12806051420</v>
      </c>
      <c r="D36" s="331">
        <v>7744268802</v>
      </c>
      <c r="E36" s="331">
        <v>202594444</v>
      </c>
      <c r="F36" s="331">
        <v>128296</v>
      </c>
      <c r="G36" s="332">
        <f t="shared" si="0"/>
        <v>1.0018388634581947E-5</v>
      </c>
      <c r="H36" s="331">
        <v>405842</v>
      </c>
      <c r="I36" s="331">
        <v>0</v>
      </c>
      <c r="J36" s="331">
        <f t="shared" si="1"/>
        <v>405842</v>
      </c>
      <c r="K36" s="333">
        <v>2.6160564564556292</v>
      </c>
      <c r="L36" s="199">
        <v>2.2599999999999998</v>
      </c>
    </row>
    <row r="37" spans="1:12" ht="15" customHeight="1" x14ac:dyDescent="0.25">
      <c r="A37" s="49">
        <v>2015</v>
      </c>
      <c r="B37" s="330" t="s">
        <v>2</v>
      </c>
      <c r="C37" s="334">
        <v>13085867000</v>
      </c>
      <c r="D37" s="334">
        <v>8001948000</v>
      </c>
      <c r="E37" s="334">
        <v>157356000</v>
      </c>
      <c r="F37" s="331">
        <v>105372</v>
      </c>
      <c r="G37" s="332">
        <f t="shared" si="0"/>
        <v>8.0523514414444226E-6</v>
      </c>
      <c r="H37" s="331">
        <v>447613</v>
      </c>
      <c r="I37" s="199">
        <v>0</v>
      </c>
      <c r="J37" s="331">
        <f t="shared" si="1"/>
        <v>447613</v>
      </c>
      <c r="K37" s="199">
        <v>2.2000000000000002</v>
      </c>
      <c r="L37" s="199">
        <v>2.2599999999999998</v>
      </c>
    </row>
    <row r="38" spans="1:12" ht="15" customHeight="1" x14ac:dyDescent="0.25">
      <c r="A38" s="49">
        <v>1980</v>
      </c>
      <c r="B38" s="330" t="s">
        <v>3</v>
      </c>
      <c r="C38" s="331">
        <v>13006982816</v>
      </c>
      <c r="D38" s="331">
        <v>6610136205</v>
      </c>
      <c r="E38" s="331">
        <v>140947633</v>
      </c>
      <c r="F38" s="331">
        <v>176024</v>
      </c>
      <c r="G38" s="332">
        <f t="shared" si="0"/>
        <v>1.3533038560139511E-5</v>
      </c>
      <c r="H38" s="331">
        <v>85145</v>
      </c>
      <c r="I38" s="331">
        <v>0</v>
      </c>
      <c r="J38" s="331">
        <f t="shared" si="1"/>
        <v>85145</v>
      </c>
      <c r="K38" s="199">
        <v>2.13</v>
      </c>
      <c r="L38" s="199">
        <v>1.69</v>
      </c>
    </row>
    <row r="39" spans="1:12" ht="15" customHeight="1" x14ac:dyDescent="0.25">
      <c r="A39" s="49">
        <v>1981</v>
      </c>
      <c r="B39" s="330" t="s">
        <v>3</v>
      </c>
      <c r="C39" s="331">
        <v>14045095688</v>
      </c>
      <c r="D39" s="331">
        <v>6755461651</v>
      </c>
      <c r="E39" s="331">
        <v>154843764</v>
      </c>
      <c r="F39" s="331">
        <v>152693</v>
      </c>
      <c r="G39" s="332">
        <f t="shared" si="0"/>
        <v>1.0871624045285749E-5</v>
      </c>
      <c r="H39" s="331">
        <v>91061</v>
      </c>
      <c r="I39" s="331">
        <v>0</v>
      </c>
      <c r="J39" s="331">
        <f t="shared" si="1"/>
        <v>91061</v>
      </c>
      <c r="K39" s="199">
        <v>2.29</v>
      </c>
      <c r="L39" s="199">
        <v>1.69</v>
      </c>
    </row>
    <row r="40" spans="1:12" ht="15" customHeight="1" x14ac:dyDescent="0.25">
      <c r="A40" s="49">
        <v>1982</v>
      </c>
      <c r="B40" s="330" t="s">
        <v>3</v>
      </c>
      <c r="C40" s="331">
        <v>14327102415</v>
      </c>
      <c r="D40" s="331">
        <v>6557184051</v>
      </c>
      <c r="E40" s="331">
        <v>153004578</v>
      </c>
      <c r="F40" s="331">
        <v>224143</v>
      </c>
      <c r="G40" s="332">
        <f t="shared" si="0"/>
        <v>1.5644684703679491E-5</v>
      </c>
      <c r="H40" s="331">
        <v>9252</v>
      </c>
      <c r="I40" s="331">
        <v>0</v>
      </c>
      <c r="J40" s="331">
        <f t="shared" si="1"/>
        <v>9252</v>
      </c>
      <c r="K40" s="199">
        <v>2.33</v>
      </c>
      <c r="L40" s="199">
        <v>1.78</v>
      </c>
    </row>
    <row r="41" spans="1:12" ht="15" customHeight="1" x14ac:dyDescent="0.25">
      <c r="A41" s="49">
        <v>1983</v>
      </c>
      <c r="B41" s="330" t="s">
        <v>3</v>
      </c>
      <c r="C41" s="331">
        <v>15210748548</v>
      </c>
      <c r="D41" s="331">
        <v>7647779504</v>
      </c>
      <c r="E41" s="331">
        <v>259573463</v>
      </c>
      <c r="F41" s="331">
        <v>182828</v>
      </c>
      <c r="G41" s="332">
        <f t="shared" si="0"/>
        <v>1.2019658297752829E-5</v>
      </c>
      <c r="H41" s="331">
        <v>55270</v>
      </c>
      <c r="I41" s="331">
        <v>0</v>
      </c>
      <c r="J41" s="331">
        <f t="shared" si="1"/>
        <v>55270</v>
      </c>
      <c r="K41" s="199">
        <v>3.39</v>
      </c>
      <c r="L41" s="199">
        <v>1.78</v>
      </c>
    </row>
    <row r="42" spans="1:12" ht="15" customHeight="1" x14ac:dyDescent="0.25">
      <c r="A42" s="49">
        <v>1984</v>
      </c>
      <c r="B42" s="330" t="s">
        <v>3</v>
      </c>
      <c r="C42" s="331">
        <v>16780209861</v>
      </c>
      <c r="D42" s="331">
        <v>8153543607</v>
      </c>
      <c r="E42" s="331">
        <v>298371757</v>
      </c>
      <c r="F42" s="331">
        <v>163268</v>
      </c>
      <c r="G42" s="332">
        <f t="shared" si="0"/>
        <v>9.7297948805433001E-6</v>
      </c>
      <c r="H42" s="331">
        <v>203229</v>
      </c>
      <c r="I42" s="331">
        <v>0</v>
      </c>
      <c r="J42" s="331">
        <f t="shared" si="1"/>
        <v>203229</v>
      </c>
      <c r="K42" s="199">
        <v>3.66</v>
      </c>
      <c r="L42" s="199">
        <v>1.78</v>
      </c>
    </row>
    <row r="43" spans="1:12" ht="15" customHeight="1" x14ac:dyDescent="0.25">
      <c r="A43" s="49">
        <v>1985</v>
      </c>
      <c r="B43" s="330" t="s">
        <v>3</v>
      </c>
      <c r="C43" s="331">
        <v>18101117036</v>
      </c>
      <c r="D43" s="331">
        <v>8513249299</v>
      </c>
      <c r="E43" s="331">
        <v>318756491</v>
      </c>
      <c r="F43" s="331">
        <v>163663</v>
      </c>
      <c r="G43" s="332">
        <f t="shared" si="0"/>
        <v>9.0415966967399043E-6</v>
      </c>
      <c r="H43" s="331">
        <v>387755</v>
      </c>
      <c r="I43" s="331">
        <v>0</v>
      </c>
      <c r="J43" s="331">
        <f t="shared" si="1"/>
        <v>387755</v>
      </c>
      <c r="K43" s="199">
        <v>3.74</v>
      </c>
      <c r="L43" s="199">
        <v>1.78</v>
      </c>
    </row>
    <row r="44" spans="1:12" ht="15" customHeight="1" x14ac:dyDescent="0.25">
      <c r="A44" s="49">
        <v>1986</v>
      </c>
      <c r="B44" s="330" t="s">
        <v>3</v>
      </c>
      <c r="C44" s="331">
        <v>19333318015</v>
      </c>
      <c r="D44" s="331">
        <v>8898428416</v>
      </c>
      <c r="E44" s="331">
        <v>197116309</v>
      </c>
      <c r="F44" s="331">
        <v>180036</v>
      </c>
      <c r="G44" s="332">
        <f t="shared" si="0"/>
        <v>9.3122142748759831E-6</v>
      </c>
      <c r="H44" s="331">
        <v>460135</v>
      </c>
      <c r="I44" s="331">
        <v>0</v>
      </c>
      <c r="J44" s="331">
        <f t="shared" si="1"/>
        <v>460135</v>
      </c>
      <c r="K44" s="199">
        <v>2.2200000000000002</v>
      </c>
      <c r="L44" s="199">
        <v>1.78</v>
      </c>
    </row>
    <row r="45" spans="1:12" ht="15" customHeight="1" x14ac:dyDescent="0.25">
      <c r="A45" s="49">
        <v>1987</v>
      </c>
      <c r="B45" s="330" t="s">
        <v>3</v>
      </c>
      <c r="C45" s="331">
        <v>20867242033</v>
      </c>
      <c r="D45" s="331">
        <v>9233318583</v>
      </c>
      <c r="E45" s="331">
        <v>158574030</v>
      </c>
      <c r="F45" s="331">
        <v>157683</v>
      </c>
      <c r="G45" s="332">
        <f t="shared" si="0"/>
        <v>7.5564849322510372E-6</v>
      </c>
      <c r="H45" s="331">
        <v>503754</v>
      </c>
      <c r="I45" s="331">
        <v>0</v>
      </c>
      <c r="J45" s="331">
        <f t="shared" si="1"/>
        <v>503754</v>
      </c>
      <c r="K45" s="199">
        <v>1.72</v>
      </c>
      <c r="L45" s="199">
        <v>1.78</v>
      </c>
    </row>
    <row r="46" spans="1:12" ht="15" customHeight="1" x14ac:dyDescent="0.25">
      <c r="A46" s="49">
        <v>1988</v>
      </c>
      <c r="B46" s="330" t="s">
        <v>3</v>
      </c>
      <c r="C46" s="331">
        <v>22421030370</v>
      </c>
      <c r="D46" s="331">
        <v>9635635516</v>
      </c>
      <c r="E46" s="331">
        <v>158374654</v>
      </c>
      <c r="F46" s="331">
        <v>136918</v>
      </c>
      <c r="G46" s="332">
        <f t="shared" si="0"/>
        <v>6.1066774247449542E-6</v>
      </c>
      <c r="H46" s="331">
        <v>575872</v>
      </c>
      <c r="I46" s="331">
        <v>0</v>
      </c>
      <c r="J46" s="331">
        <f t="shared" si="1"/>
        <v>575872</v>
      </c>
      <c r="K46" s="199">
        <v>1.64</v>
      </c>
      <c r="L46" s="199">
        <v>1.78</v>
      </c>
    </row>
    <row r="47" spans="1:12" ht="15" customHeight="1" x14ac:dyDescent="0.25">
      <c r="A47" s="49">
        <v>1989</v>
      </c>
      <c r="B47" s="330" t="s">
        <v>3</v>
      </c>
      <c r="C47" s="331">
        <v>23748550977</v>
      </c>
      <c r="D47" s="331">
        <v>9982526190</v>
      </c>
      <c r="E47" s="331">
        <v>143901271</v>
      </c>
      <c r="F47" s="331">
        <v>152189</v>
      </c>
      <c r="G47" s="332">
        <f t="shared" si="0"/>
        <v>6.408348877680665E-6</v>
      </c>
      <c r="H47" s="331">
        <v>622529</v>
      </c>
      <c r="I47" s="331">
        <v>0</v>
      </c>
      <c r="J47" s="331">
        <f t="shared" si="1"/>
        <v>622529</v>
      </c>
      <c r="K47" s="199">
        <v>1.44</v>
      </c>
      <c r="L47" s="199">
        <v>1.78</v>
      </c>
    </row>
    <row r="48" spans="1:12" ht="15" customHeight="1" x14ac:dyDescent="0.25">
      <c r="A48" s="49">
        <v>1990</v>
      </c>
      <c r="B48" s="330" t="s">
        <v>3</v>
      </c>
      <c r="C48" s="331">
        <v>25276024190</v>
      </c>
      <c r="D48" s="331">
        <v>10327697265</v>
      </c>
      <c r="E48" s="331">
        <v>139803847</v>
      </c>
      <c r="F48" s="331">
        <v>177107</v>
      </c>
      <c r="G48" s="332">
        <f t="shared" si="0"/>
        <v>7.0069168579949836E-6</v>
      </c>
      <c r="H48" s="331">
        <v>637222</v>
      </c>
      <c r="I48" s="331">
        <v>0</v>
      </c>
      <c r="J48" s="331">
        <f t="shared" si="1"/>
        <v>637222</v>
      </c>
      <c r="K48" s="199">
        <v>1.35</v>
      </c>
      <c r="L48" s="199">
        <v>1.78</v>
      </c>
    </row>
    <row r="49" spans="1:12" ht="15" customHeight="1" x14ac:dyDescent="0.25">
      <c r="A49" s="49">
        <v>1991</v>
      </c>
      <c r="B49" s="330" t="s">
        <v>3</v>
      </c>
      <c r="C49" s="331">
        <v>26181551728</v>
      </c>
      <c r="D49" s="331">
        <v>10389980804</v>
      </c>
      <c r="E49" s="331">
        <v>106535821</v>
      </c>
      <c r="F49" s="331">
        <v>216394</v>
      </c>
      <c r="G49" s="332">
        <f t="shared" si="0"/>
        <v>8.2651327258260366E-6</v>
      </c>
      <c r="H49" s="331">
        <v>585725</v>
      </c>
      <c r="I49" s="331">
        <v>0</v>
      </c>
      <c r="J49" s="331">
        <f t="shared" si="1"/>
        <v>585725</v>
      </c>
      <c r="K49" s="199">
        <v>1.03</v>
      </c>
      <c r="L49" s="199">
        <v>1.78</v>
      </c>
    </row>
    <row r="50" spans="1:12" ht="15" customHeight="1" x14ac:dyDescent="0.25">
      <c r="A50" s="49">
        <v>1992</v>
      </c>
      <c r="B50" s="330" t="s">
        <v>3</v>
      </c>
      <c r="C50" s="331">
        <v>28117175638</v>
      </c>
      <c r="D50" s="331">
        <v>10709003159</v>
      </c>
      <c r="E50" s="331">
        <v>122076834</v>
      </c>
      <c r="F50" s="331">
        <v>201958</v>
      </c>
      <c r="G50" s="332">
        <f t="shared" si="0"/>
        <v>7.182727120253727E-6</v>
      </c>
      <c r="H50" s="331">
        <v>550280</v>
      </c>
      <c r="I50" s="331">
        <v>0</v>
      </c>
      <c r="J50" s="331">
        <f t="shared" si="1"/>
        <v>550280</v>
      </c>
      <c r="K50" s="199">
        <v>1.1399999999999999</v>
      </c>
      <c r="L50" s="199">
        <v>1.78</v>
      </c>
    </row>
    <row r="51" spans="1:12" ht="15" customHeight="1" x14ac:dyDescent="0.25">
      <c r="A51" s="49">
        <v>1993</v>
      </c>
      <c r="B51" s="330" t="s">
        <v>3</v>
      </c>
      <c r="C51" s="331">
        <v>29431490423</v>
      </c>
      <c r="D51" s="331">
        <v>11070521488</v>
      </c>
      <c r="E51" s="331">
        <v>166478255</v>
      </c>
      <c r="F51" s="331">
        <v>183986</v>
      </c>
      <c r="G51" s="332">
        <f t="shared" si="0"/>
        <v>6.2513313921818708E-6</v>
      </c>
      <c r="H51" s="331">
        <v>570118</v>
      </c>
      <c r="I51" s="331">
        <v>0</v>
      </c>
      <c r="J51" s="331">
        <f t="shared" si="1"/>
        <v>570118</v>
      </c>
      <c r="K51" s="199">
        <v>1.5</v>
      </c>
      <c r="L51" s="199">
        <v>1.78</v>
      </c>
    </row>
    <row r="52" spans="1:12" ht="15" customHeight="1" x14ac:dyDescent="0.25">
      <c r="A52" s="49">
        <v>1994</v>
      </c>
      <c r="B52" s="330" t="s">
        <v>3</v>
      </c>
      <c r="C52" s="331">
        <v>31178545487</v>
      </c>
      <c r="D52" s="331">
        <v>11542030236</v>
      </c>
      <c r="E52" s="331">
        <v>111937994</v>
      </c>
      <c r="F52" s="331">
        <v>174070</v>
      </c>
      <c r="G52" s="332">
        <f t="shared" si="0"/>
        <v>5.5830057907152556E-6</v>
      </c>
      <c r="H52" s="331">
        <v>551842</v>
      </c>
      <c r="I52" s="331">
        <v>0</v>
      </c>
      <c r="J52" s="331">
        <f t="shared" si="1"/>
        <v>551842</v>
      </c>
      <c r="K52" s="199">
        <v>0.97</v>
      </c>
      <c r="L52" s="199">
        <v>1.78</v>
      </c>
    </row>
    <row r="53" spans="1:12" ht="15" customHeight="1" x14ac:dyDescent="0.25">
      <c r="A53" s="49">
        <v>1995</v>
      </c>
      <c r="B53" s="330" t="s">
        <v>3</v>
      </c>
      <c r="C53" s="331">
        <v>33297856356</v>
      </c>
      <c r="D53" s="331">
        <v>12043236596</v>
      </c>
      <c r="E53" s="331">
        <v>121634715</v>
      </c>
      <c r="F53" s="331">
        <v>177607</v>
      </c>
      <c r="G53" s="332">
        <f t="shared" si="0"/>
        <v>5.3338869055453979E-6</v>
      </c>
      <c r="H53" s="331">
        <v>534470</v>
      </c>
      <c r="I53" s="331">
        <v>0</v>
      </c>
      <c r="J53" s="331">
        <f t="shared" si="1"/>
        <v>534470</v>
      </c>
      <c r="K53" s="199">
        <v>1.01</v>
      </c>
      <c r="L53" s="199">
        <v>1.54</v>
      </c>
    </row>
    <row r="54" spans="1:12" ht="15" customHeight="1" x14ac:dyDescent="0.25">
      <c r="A54" s="49">
        <v>1996</v>
      </c>
      <c r="B54" s="330" t="s">
        <v>3</v>
      </c>
      <c r="C54" s="331">
        <v>35098015937</v>
      </c>
      <c r="D54" s="331">
        <v>12348226776</v>
      </c>
      <c r="E54" s="331">
        <v>118553302</v>
      </c>
      <c r="F54" s="331">
        <v>206158</v>
      </c>
      <c r="G54" s="332">
        <f t="shared" si="0"/>
        <v>5.8737793147637778E-6</v>
      </c>
      <c r="H54" s="331">
        <v>483472</v>
      </c>
      <c r="I54" s="331">
        <v>0</v>
      </c>
      <c r="J54" s="331">
        <f t="shared" si="1"/>
        <v>483472</v>
      </c>
      <c r="K54" s="199">
        <v>0.96</v>
      </c>
      <c r="L54" s="199">
        <v>1.49</v>
      </c>
    </row>
    <row r="55" spans="1:12" ht="15" customHeight="1" x14ac:dyDescent="0.25">
      <c r="A55" s="49">
        <v>1997</v>
      </c>
      <c r="B55" s="330" t="s">
        <v>3</v>
      </c>
      <c r="C55" s="331">
        <v>37380103361</v>
      </c>
      <c r="D55" s="331">
        <v>12824650605</v>
      </c>
      <c r="E55" s="331">
        <v>126393812</v>
      </c>
      <c r="F55" s="331">
        <v>187747</v>
      </c>
      <c r="G55" s="332">
        <f t="shared" si="0"/>
        <v>5.022645287703596E-6</v>
      </c>
      <c r="H55" s="331">
        <v>451425</v>
      </c>
      <c r="I55" s="331">
        <v>0</v>
      </c>
      <c r="J55" s="331">
        <f t="shared" si="1"/>
        <v>451425</v>
      </c>
      <c r="K55" s="199">
        <v>0.98</v>
      </c>
      <c r="L55" s="199">
        <v>1.49</v>
      </c>
    </row>
    <row r="56" spans="1:12" ht="15" customHeight="1" x14ac:dyDescent="0.25">
      <c r="A56" s="49">
        <v>1998</v>
      </c>
      <c r="B56" s="330" t="s">
        <v>3</v>
      </c>
      <c r="C56" s="331">
        <v>39475614885</v>
      </c>
      <c r="D56" s="331">
        <v>13200463066</v>
      </c>
      <c r="E56" s="331">
        <v>175687882</v>
      </c>
      <c r="F56" s="331">
        <v>191465</v>
      </c>
      <c r="G56" s="332">
        <f t="shared" si="0"/>
        <v>4.8502094408858246E-6</v>
      </c>
      <c r="H56" s="331">
        <v>451571</v>
      </c>
      <c r="I56" s="331">
        <v>0</v>
      </c>
      <c r="J56" s="331">
        <f t="shared" si="1"/>
        <v>451571</v>
      </c>
      <c r="K56" s="199">
        <v>1.33</v>
      </c>
      <c r="L56" s="199">
        <v>1.49</v>
      </c>
    </row>
    <row r="57" spans="1:12" ht="15" customHeight="1" x14ac:dyDescent="0.25">
      <c r="A57" s="49">
        <v>1999</v>
      </c>
      <c r="B57" s="330" t="s">
        <v>3</v>
      </c>
      <c r="C57" s="331">
        <v>41391118149</v>
      </c>
      <c r="D57" s="331">
        <v>13439559305</v>
      </c>
      <c r="E57" s="331">
        <v>148977878</v>
      </c>
      <c r="F57" s="331">
        <v>184955</v>
      </c>
      <c r="G57" s="332">
        <f t="shared" si="0"/>
        <v>4.468470731672381E-6</v>
      </c>
      <c r="H57" s="331">
        <v>444141</v>
      </c>
      <c r="I57" s="331">
        <v>0</v>
      </c>
      <c r="J57" s="331">
        <f t="shared" si="1"/>
        <v>444141</v>
      </c>
      <c r="K57" s="199">
        <v>1.1100000000000001</v>
      </c>
      <c r="L57" s="199">
        <v>1.49</v>
      </c>
    </row>
    <row r="58" spans="1:12" ht="15" customHeight="1" x14ac:dyDescent="0.25">
      <c r="A58" s="49">
        <v>2000</v>
      </c>
      <c r="B58" s="330" t="s">
        <v>3</v>
      </c>
      <c r="C58" s="331">
        <v>42862482739</v>
      </c>
      <c r="D58" s="331">
        <v>13625227648</v>
      </c>
      <c r="E58" s="331">
        <v>145637048</v>
      </c>
      <c r="F58" s="331">
        <v>195492</v>
      </c>
      <c r="G58" s="332">
        <f t="shared" si="0"/>
        <v>4.560911722972231E-6</v>
      </c>
      <c r="H58" s="331">
        <v>417414</v>
      </c>
      <c r="I58" s="331">
        <v>0</v>
      </c>
      <c r="J58" s="331">
        <f t="shared" si="1"/>
        <v>417414</v>
      </c>
      <c r="K58" s="199">
        <v>1.07</v>
      </c>
      <c r="L58" s="199">
        <v>1.49</v>
      </c>
    </row>
    <row r="59" spans="1:12" ht="15" customHeight="1" x14ac:dyDescent="0.25">
      <c r="A59" s="49">
        <v>2001</v>
      </c>
      <c r="B59" s="330" t="s">
        <v>3</v>
      </c>
      <c r="C59" s="331">
        <v>43720618388</v>
      </c>
      <c r="D59" s="331">
        <v>13350299482</v>
      </c>
      <c r="E59" s="331">
        <v>168826877</v>
      </c>
      <c r="F59" s="331">
        <v>275826</v>
      </c>
      <c r="G59" s="332">
        <f t="shared" si="0"/>
        <v>6.3088311686759213E-6</v>
      </c>
      <c r="H59" s="331">
        <v>324488</v>
      </c>
      <c r="I59" s="331">
        <v>0</v>
      </c>
      <c r="J59" s="331">
        <f t="shared" si="1"/>
        <v>324488</v>
      </c>
      <c r="K59" s="199">
        <v>1.26</v>
      </c>
      <c r="L59" s="199">
        <v>1.39</v>
      </c>
    </row>
    <row r="60" spans="1:12" ht="15" customHeight="1" x14ac:dyDescent="0.25">
      <c r="A60" s="49">
        <v>2002</v>
      </c>
      <c r="B60" s="330" t="s">
        <v>3</v>
      </c>
      <c r="C60" s="331">
        <v>44389405519</v>
      </c>
      <c r="D60" s="331">
        <v>13119046413</v>
      </c>
      <c r="E60" s="331">
        <v>183740941</v>
      </c>
      <c r="F60" s="331">
        <v>299060</v>
      </c>
      <c r="G60" s="332">
        <f t="shared" si="0"/>
        <v>6.7371931771420845E-6</v>
      </c>
      <c r="H60" s="331">
        <v>320613</v>
      </c>
      <c r="I60" s="331">
        <v>0</v>
      </c>
      <c r="J60" s="331">
        <f t="shared" si="1"/>
        <v>320613</v>
      </c>
      <c r="K60" s="199">
        <v>1.4</v>
      </c>
      <c r="L60" s="199">
        <v>1.39</v>
      </c>
    </row>
    <row r="61" spans="1:12" ht="15" customHeight="1" x14ac:dyDescent="0.25">
      <c r="A61" s="49">
        <v>2003</v>
      </c>
      <c r="B61" s="330" t="s">
        <v>3</v>
      </c>
      <c r="C61" s="331">
        <v>45667200905</v>
      </c>
      <c r="D61" s="331">
        <v>13064570081</v>
      </c>
      <c r="E61" s="331">
        <v>223436171</v>
      </c>
      <c r="F61" s="331">
        <v>288747</v>
      </c>
      <c r="G61" s="332">
        <f t="shared" si="0"/>
        <v>6.3228530384568796E-6</v>
      </c>
      <c r="H61" s="331">
        <v>253437</v>
      </c>
      <c r="I61" s="331">
        <v>0</v>
      </c>
      <c r="J61" s="331">
        <f t="shared" si="1"/>
        <v>253437</v>
      </c>
      <c r="K61" s="199">
        <v>1.71</v>
      </c>
      <c r="L61" s="199">
        <v>1.39</v>
      </c>
    </row>
    <row r="62" spans="1:12" ht="15" customHeight="1" x14ac:dyDescent="0.25">
      <c r="A62" s="49">
        <v>2004</v>
      </c>
      <c r="B62" s="330" t="s">
        <v>3</v>
      </c>
      <c r="C62" s="331">
        <v>48314866824</v>
      </c>
      <c r="D62" s="331">
        <v>13460198369</v>
      </c>
      <c r="E62" s="331">
        <v>248607325</v>
      </c>
      <c r="F62" s="331">
        <v>228206</v>
      </c>
      <c r="G62" s="332">
        <f t="shared" si="0"/>
        <v>4.7233080623258722E-6</v>
      </c>
      <c r="H62" s="331">
        <v>264182</v>
      </c>
      <c r="I62" s="331">
        <v>0</v>
      </c>
      <c r="J62" s="331">
        <f t="shared" si="1"/>
        <v>264182</v>
      </c>
      <c r="K62" s="199">
        <v>1.85</v>
      </c>
      <c r="L62" s="199">
        <v>1.39</v>
      </c>
    </row>
    <row r="63" spans="1:12" ht="15" customHeight="1" x14ac:dyDescent="0.25">
      <c r="A63" s="49">
        <v>2005</v>
      </c>
      <c r="B63" s="330" t="s">
        <v>3</v>
      </c>
      <c r="C63" s="331">
        <v>51396133203</v>
      </c>
      <c r="D63" s="331">
        <v>14067542860</v>
      </c>
      <c r="E63" s="331">
        <v>299023667</v>
      </c>
      <c r="F63" s="331">
        <v>205788</v>
      </c>
      <c r="G63" s="332">
        <f t="shared" si="0"/>
        <v>4.0039588034219688E-6</v>
      </c>
      <c r="H63" s="331">
        <v>373421</v>
      </c>
      <c r="I63" s="331">
        <v>0</v>
      </c>
      <c r="J63" s="331">
        <f t="shared" si="1"/>
        <v>373421</v>
      </c>
      <c r="K63" s="199">
        <v>2.13</v>
      </c>
      <c r="L63" s="199">
        <v>1.39</v>
      </c>
    </row>
    <row r="64" spans="1:12" ht="15" customHeight="1" x14ac:dyDescent="0.25">
      <c r="A64" s="49">
        <v>2006</v>
      </c>
      <c r="B64" s="330" t="s">
        <v>3</v>
      </c>
      <c r="C64" s="331">
        <v>54786916633</v>
      </c>
      <c r="D64" s="331">
        <v>14367839432</v>
      </c>
      <c r="E64" s="331">
        <v>224911262</v>
      </c>
      <c r="F64" s="331">
        <v>196881</v>
      </c>
      <c r="G64" s="332">
        <f t="shared" si="0"/>
        <v>3.5935769358739924E-6</v>
      </c>
      <c r="H64" s="331">
        <v>417411</v>
      </c>
      <c r="I64" s="331">
        <v>0</v>
      </c>
      <c r="J64" s="331">
        <f t="shared" si="1"/>
        <v>417411</v>
      </c>
      <c r="K64" s="199">
        <v>1.57</v>
      </c>
      <c r="L64" s="199">
        <v>1.39</v>
      </c>
    </row>
    <row r="65" spans="1:12" ht="15" customHeight="1" x14ac:dyDescent="0.25">
      <c r="A65" s="49">
        <v>2007</v>
      </c>
      <c r="B65" s="330" t="s">
        <v>3</v>
      </c>
      <c r="C65" s="331">
        <v>57132576807</v>
      </c>
      <c r="D65" s="331">
        <v>14633478311</v>
      </c>
      <c r="E65" s="331">
        <v>208399666</v>
      </c>
      <c r="F65" s="331">
        <v>209666</v>
      </c>
      <c r="G65" s="332">
        <f t="shared" si="0"/>
        <v>3.6698152213276557E-6</v>
      </c>
      <c r="H65" s="331">
        <v>410640</v>
      </c>
      <c r="I65" s="331">
        <v>0</v>
      </c>
      <c r="J65" s="331">
        <f t="shared" si="1"/>
        <v>410640</v>
      </c>
      <c r="K65" s="199">
        <v>1.42</v>
      </c>
      <c r="L65" s="199">
        <v>1.39</v>
      </c>
    </row>
    <row r="66" spans="1:12" ht="15" customHeight="1" x14ac:dyDescent="0.25">
      <c r="A66" s="49">
        <v>2008</v>
      </c>
      <c r="B66" s="330" t="s">
        <v>3</v>
      </c>
      <c r="C66" s="331">
        <v>58106573584</v>
      </c>
      <c r="D66" s="331">
        <v>14318143328</v>
      </c>
      <c r="E66" s="331">
        <v>204524427</v>
      </c>
      <c r="F66" s="331">
        <v>299235</v>
      </c>
      <c r="G66" s="332">
        <f t="shared" ref="G66:G129" si="2">F66/C66</f>
        <v>5.149761576758954E-6</v>
      </c>
      <c r="H66" s="331">
        <v>314100</v>
      </c>
      <c r="I66" s="331">
        <v>0</v>
      </c>
      <c r="J66" s="331">
        <f t="shared" ref="J66:J129" si="3">H66-I66</f>
        <v>314100</v>
      </c>
      <c r="K66" s="199">
        <v>1.4</v>
      </c>
      <c r="L66" s="199">
        <v>1.39</v>
      </c>
    </row>
    <row r="67" spans="1:12" ht="15" customHeight="1" x14ac:dyDescent="0.25">
      <c r="A67" s="49">
        <v>2009</v>
      </c>
      <c r="B67" s="330" t="s">
        <v>3</v>
      </c>
      <c r="C67" s="331">
        <v>54905265634</v>
      </c>
      <c r="D67" s="331">
        <v>13095837129</v>
      </c>
      <c r="E67" s="331">
        <v>195794130</v>
      </c>
      <c r="F67" s="331">
        <v>628125</v>
      </c>
      <c r="G67" s="332">
        <f t="shared" si="2"/>
        <v>1.1440159568430074E-5</v>
      </c>
      <c r="H67" s="331">
        <v>8947</v>
      </c>
      <c r="I67" s="331">
        <v>146094</v>
      </c>
      <c r="J67" s="331">
        <f t="shared" si="3"/>
        <v>-137147</v>
      </c>
      <c r="K67" s="199">
        <v>1.5</v>
      </c>
      <c r="L67" s="199">
        <v>0.9</v>
      </c>
    </row>
    <row r="68" spans="1:12" ht="15" customHeight="1" x14ac:dyDescent="0.25">
      <c r="A68" s="49">
        <v>2010</v>
      </c>
      <c r="B68" s="330" t="s">
        <v>3</v>
      </c>
      <c r="C68" s="331">
        <v>55441664033</v>
      </c>
      <c r="D68" s="331">
        <v>13174451797</v>
      </c>
      <c r="E68" s="331">
        <v>426813475</v>
      </c>
      <c r="F68" s="331">
        <v>444463</v>
      </c>
      <c r="G68" s="332">
        <f t="shared" si="2"/>
        <v>8.0167687559927246E-6</v>
      </c>
      <c r="H68" s="331">
        <v>8007</v>
      </c>
      <c r="I68" s="331">
        <v>201849</v>
      </c>
      <c r="J68" s="331">
        <f t="shared" si="3"/>
        <v>-193842</v>
      </c>
      <c r="K68" s="199">
        <v>3.2</v>
      </c>
      <c r="L68" s="199">
        <v>0.92</v>
      </c>
    </row>
    <row r="69" spans="1:12" ht="15" customHeight="1" x14ac:dyDescent="0.25">
      <c r="A69" s="49">
        <v>2011</v>
      </c>
      <c r="B69" s="330" t="s">
        <v>3</v>
      </c>
      <c r="C69" s="331">
        <v>56820547770</v>
      </c>
      <c r="D69" s="331">
        <v>13218483857</v>
      </c>
      <c r="E69" s="331">
        <v>506302777</v>
      </c>
      <c r="F69" s="331">
        <v>352986</v>
      </c>
      <c r="G69" s="332">
        <f t="shared" si="2"/>
        <v>6.2122949153680783E-6</v>
      </c>
      <c r="H69" s="331">
        <v>6951</v>
      </c>
      <c r="I69" s="331">
        <v>32826</v>
      </c>
      <c r="J69" s="331">
        <f t="shared" si="3"/>
        <v>-25875</v>
      </c>
      <c r="K69" s="199">
        <v>3.8</v>
      </c>
      <c r="L69" s="199">
        <v>0.92</v>
      </c>
    </row>
    <row r="70" spans="1:12" ht="15" customHeight="1" x14ac:dyDescent="0.25">
      <c r="A70" s="49">
        <v>2012</v>
      </c>
      <c r="B70" s="330" t="s">
        <v>3</v>
      </c>
      <c r="C70" s="331">
        <v>58845517088</v>
      </c>
      <c r="D70" s="331">
        <v>13423472574</v>
      </c>
      <c r="E70" s="331">
        <v>419685549</v>
      </c>
      <c r="F70" s="331">
        <v>299301</v>
      </c>
      <c r="G70" s="332">
        <f t="shared" si="2"/>
        <v>5.0862158208655558E-6</v>
      </c>
      <c r="H70" s="331">
        <v>91179</v>
      </c>
      <c r="I70" s="331">
        <v>0</v>
      </c>
      <c r="J70" s="331">
        <f t="shared" si="3"/>
        <v>91179</v>
      </c>
      <c r="K70" s="199">
        <v>3.13</v>
      </c>
      <c r="L70" s="199">
        <v>0.92</v>
      </c>
    </row>
    <row r="71" spans="1:12" x14ac:dyDescent="0.25">
      <c r="A71" s="49">
        <v>2013</v>
      </c>
      <c r="B71" s="330" t="s">
        <v>3</v>
      </c>
      <c r="C71" s="331">
        <v>60045645618</v>
      </c>
      <c r="D71" s="331">
        <v>13613643816</v>
      </c>
      <c r="E71" s="331">
        <v>386616329</v>
      </c>
      <c r="F71" s="331">
        <v>272688</v>
      </c>
      <c r="G71" s="332">
        <f t="shared" si="2"/>
        <v>4.5413451249203621E-6</v>
      </c>
      <c r="H71" s="331">
        <v>223622</v>
      </c>
      <c r="I71" s="331">
        <v>0</v>
      </c>
      <c r="J71" s="331">
        <f t="shared" si="3"/>
        <v>223622</v>
      </c>
      <c r="K71" s="199">
        <v>2.84</v>
      </c>
      <c r="L71" s="199">
        <v>0.92</v>
      </c>
    </row>
    <row r="72" spans="1:12" ht="15" customHeight="1" x14ac:dyDescent="0.25">
      <c r="A72" s="49">
        <v>2014</v>
      </c>
      <c r="B72" s="330" t="s">
        <v>3</v>
      </c>
      <c r="C72" s="331">
        <v>62256938787</v>
      </c>
      <c r="D72" s="331">
        <v>13915895692</v>
      </c>
      <c r="E72" s="331">
        <v>316062548</v>
      </c>
      <c r="F72" s="331">
        <v>231273</v>
      </c>
      <c r="G72" s="332">
        <f t="shared" si="2"/>
        <v>3.7148148384111136E-6</v>
      </c>
      <c r="H72" s="331">
        <v>329082</v>
      </c>
      <c r="I72" s="331">
        <v>0</v>
      </c>
      <c r="J72" s="331">
        <f t="shared" si="3"/>
        <v>329082</v>
      </c>
      <c r="K72" s="333">
        <v>2.2712339542879638</v>
      </c>
      <c r="L72" s="199">
        <v>0.92</v>
      </c>
    </row>
    <row r="73" spans="1:12" ht="15" customHeight="1" x14ac:dyDescent="0.25">
      <c r="A73" s="49">
        <v>2015</v>
      </c>
      <c r="B73" s="330" t="s">
        <v>3</v>
      </c>
      <c r="C73" s="334">
        <v>64919172000</v>
      </c>
      <c r="D73" s="334">
        <v>14289391000</v>
      </c>
      <c r="E73" s="334">
        <v>313531000</v>
      </c>
      <c r="F73" s="331">
        <v>193011</v>
      </c>
      <c r="G73" s="332">
        <f t="shared" si="2"/>
        <v>2.9730970690753726E-6</v>
      </c>
      <c r="H73" s="331">
        <v>445381</v>
      </c>
      <c r="I73" s="199">
        <v>0</v>
      </c>
      <c r="J73" s="331">
        <f t="shared" si="3"/>
        <v>445381</v>
      </c>
      <c r="K73" s="199">
        <v>2.1</v>
      </c>
      <c r="L73" s="199">
        <v>0.92</v>
      </c>
    </row>
    <row r="74" spans="1:12" ht="15" customHeight="1" x14ac:dyDescent="0.25">
      <c r="A74" s="49">
        <v>1980</v>
      </c>
      <c r="B74" s="330" t="s">
        <v>4</v>
      </c>
      <c r="C74" s="331">
        <v>6898616367</v>
      </c>
      <c r="D74" s="331">
        <v>3588455182</v>
      </c>
      <c r="E74" s="331">
        <v>67964249</v>
      </c>
      <c r="F74" s="331">
        <v>113321</v>
      </c>
      <c r="G74" s="332">
        <f t="shared" si="2"/>
        <v>1.6426627307771265E-5</v>
      </c>
      <c r="H74" s="331">
        <v>5610</v>
      </c>
      <c r="I74" s="331">
        <v>29200</v>
      </c>
      <c r="J74" s="331">
        <f t="shared" si="3"/>
        <v>-23590</v>
      </c>
      <c r="K74" s="199">
        <v>1.89</v>
      </c>
      <c r="L74" s="199">
        <v>2.0299999999999998</v>
      </c>
    </row>
    <row r="75" spans="1:12" ht="15" customHeight="1" x14ac:dyDescent="0.25">
      <c r="A75" s="49">
        <v>1981</v>
      </c>
      <c r="B75" s="330" t="s">
        <v>4</v>
      </c>
      <c r="C75" s="331">
        <v>7544554818</v>
      </c>
      <c r="D75" s="331">
        <v>4042053815</v>
      </c>
      <c r="E75" s="331">
        <v>96119790</v>
      </c>
      <c r="F75" s="331">
        <v>98381</v>
      </c>
      <c r="G75" s="332">
        <f t="shared" si="2"/>
        <v>1.3040000685697185E-5</v>
      </c>
      <c r="H75" s="331">
        <v>32137</v>
      </c>
      <c r="I75" s="331">
        <v>64000</v>
      </c>
      <c r="J75" s="331">
        <f t="shared" si="3"/>
        <v>-31863</v>
      </c>
      <c r="K75" s="199">
        <v>2.38</v>
      </c>
      <c r="L75" s="199">
        <v>1.95</v>
      </c>
    </row>
    <row r="76" spans="1:12" ht="15" customHeight="1" x14ac:dyDescent="0.25">
      <c r="A76" s="49">
        <v>1982</v>
      </c>
      <c r="B76" s="330" t="s">
        <v>4</v>
      </c>
      <c r="C76" s="331">
        <v>7711934272</v>
      </c>
      <c r="D76" s="331">
        <v>3927880615</v>
      </c>
      <c r="E76" s="331">
        <v>97500548</v>
      </c>
      <c r="F76" s="331">
        <v>137122</v>
      </c>
      <c r="G76" s="332">
        <f t="shared" si="2"/>
        <v>1.7780493863628197E-5</v>
      </c>
      <c r="H76" s="331">
        <v>0</v>
      </c>
      <c r="I76" s="331">
        <v>77042</v>
      </c>
      <c r="J76" s="331">
        <f t="shared" si="3"/>
        <v>-77042</v>
      </c>
      <c r="K76" s="199">
        <v>2.48</v>
      </c>
      <c r="L76" s="199">
        <v>2.09</v>
      </c>
    </row>
    <row r="77" spans="1:12" ht="15" customHeight="1" x14ac:dyDescent="0.25">
      <c r="A77" s="49">
        <v>1983</v>
      </c>
      <c r="B77" s="330" t="s">
        <v>4</v>
      </c>
      <c r="C77" s="331">
        <v>8325126603</v>
      </c>
      <c r="D77" s="331">
        <v>4305113037</v>
      </c>
      <c r="E77" s="331">
        <v>139905230</v>
      </c>
      <c r="F77" s="331">
        <v>108995</v>
      </c>
      <c r="G77" s="332">
        <f t="shared" si="2"/>
        <v>1.3092293390556141E-5</v>
      </c>
      <c r="H77" s="331">
        <v>29172</v>
      </c>
      <c r="I77" s="331">
        <v>85540</v>
      </c>
      <c r="J77" s="331">
        <f t="shared" si="3"/>
        <v>-56368</v>
      </c>
      <c r="K77" s="199">
        <v>3.25</v>
      </c>
      <c r="L77" s="199">
        <v>2.09</v>
      </c>
    </row>
    <row r="78" spans="1:12" ht="15" customHeight="1" x14ac:dyDescent="0.25">
      <c r="A78" s="49">
        <v>1984</v>
      </c>
      <c r="B78" s="330" t="s">
        <v>4</v>
      </c>
      <c r="C78" s="331">
        <v>9180292318</v>
      </c>
      <c r="D78" s="331">
        <v>4626142723</v>
      </c>
      <c r="E78" s="331">
        <v>176251695</v>
      </c>
      <c r="F78" s="331">
        <v>87337</v>
      </c>
      <c r="G78" s="332">
        <f t="shared" si="2"/>
        <v>9.5135314840417917E-6</v>
      </c>
      <c r="H78" s="331">
        <v>42003</v>
      </c>
      <c r="I78" s="331">
        <v>0</v>
      </c>
      <c r="J78" s="331">
        <f t="shared" si="3"/>
        <v>42003</v>
      </c>
      <c r="K78" s="199">
        <v>3.81</v>
      </c>
      <c r="L78" s="199">
        <v>2.09</v>
      </c>
    </row>
    <row r="79" spans="1:12" ht="15" customHeight="1" x14ac:dyDescent="0.25">
      <c r="A79" s="49">
        <v>1985</v>
      </c>
      <c r="B79" s="330" t="s">
        <v>4</v>
      </c>
      <c r="C79" s="331">
        <v>9675120910</v>
      </c>
      <c r="D79" s="331">
        <v>4756442061</v>
      </c>
      <c r="E79" s="331">
        <v>127422983</v>
      </c>
      <c r="F79" s="331">
        <v>109734</v>
      </c>
      <c r="G79" s="332">
        <f t="shared" si="2"/>
        <v>1.134187376269182E-5</v>
      </c>
      <c r="H79" s="331">
        <v>90990</v>
      </c>
      <c r="I79" s="331">
        <v>0</v>
      </c>
      <c r="J79" s="331">
        <f t="shared" si="3"/>
        <v>90990</v>
      </c>
      <c r="K79" s="199">
        <v>2.68</v>
      </c>
      <c r="L79" s="199">
        <v>2.09</v>
      </c>
    </row>
    <row r="80" spans="1:12" ht="15" customHeight="1" x14ac:dyDescent="0.25">
      <c r="A80" s="49">
        <v>1986</v>
      </c>
      <c r="B80" s="330" t="s">
        <v>4</v>
      </c>
      <c r="C80" s="331">
        <v>10239423892</v>
      </c>
      <c r="D80" s="331">
        <v>4879215842</v>
      </c>
      <c r="E80" s="331">
        <v>115534637</v>
      </c>
      <c r="F80" s="331">
        <v>123886</v>
      </c>
      <c r="G80" s="332">
        <f t="shared" si="2"/>
        <v>1.20989228795178E-5</v>
      </c>
      <c r="H80" s="331">
        <v>98244</v>
      </c>
      <c r="I80" s="331">
        <v>0</v>
      </c>
      <c r="J80" s="331">
        <f t="shared" si="3"/>
        <v>98244</v>
      </c>
      <c r="K80" s="199">
        <v>2.37</v>
      </c>
      <c r="L80" s="199">
        <v>2.09</v>
      </c>
    </row>
    <row r="81" spans="1:12" ht="15" customHeight="1" x14ac:dyDescent="0.25">
      <c r="A81" s="49">
        <v>1987</v>
      </c>
      <c r="B81" s="330" t="s">
        <v>4</v>
      </c>
      <c r="C81" s="331">
        <v>10808751376</v>
      </c>
      <c r="D81" s="331">
        <v>5006114430</v>
      </c>
      <c r="E81" s="331">
        <v>119257046</v>
      </c>
      <c r="F81" s="331">
        <v>122376</v>
      </c>
      <c r="G81" s="332">
        <f t="shared" si="2"/>
        <v>1.1321936803146984E-5</v>
      </c>
      <c r="H81" s="331">
        <v>100701</v>
      </c>
      <c r="I81" s="331">
        <v>0</v>
      </c>
      <c r="J81" s="331">
        <f t="shared" si="3"/>
        <v>100701</v>
      </c>
      <c r="K81" s="199">
        <v>2.38</v>
      </c>
      <c r="L81" s="199">
        <v>2.09</v>
      </c>
    </row>
    <row r="82" spans="1:12" ht="15" customHeight="1" x14ac:dyDescent="0.25">
      <c r="A82" s="49">
        <v>1988</v>
      </c>
      <c r="B82" s="330" t="s">
        <v>4</v>
      </c>
      <c r="C82" s="331">
        <v>11528763254</v>
      </c>
      <c r="D82" s="331">
        <v>5212091931</v>
      </c>
      <c r="E82" s="331">
        <v>123418113</v>
      </c>
      <c r="F82" s="331">
        <v>114329</v>
      </c>
      <c r="G82" s="332">
        <f t="shared" si="2"/>
        <v>9.9168486229719915E-6</v>
      </c>
      <c r="H82" s="331">
        <v>118895</v>
      </c>
      <c r="I82" s="331">
        <v>0</v>
      </c>
      <c r="J82" s="331">
        <f t="shared" si="3"/>
        <v>118895</v>
      </c>
      <c r="K82" s="199">
        <v>2.37</v>
      </c>
      <c r="L82" s="199">
        <v>2.09</v>
      </c>
    </row>
    <row r="83" spans="1:12" ht="15" customHeight="1" x14ac:dyDescent="0.25">
      <c r="A83" s="49">
        <v>1989</v>
      </c>
      <c r="B83" s="330" t="s">
        <v>4</v>
      </c>
      <c r="C83" s="331">
        <v>12105671456</v>
      </c>
      <c r="D83" s="331">
        <v>5371922251</v>
      </c>
      <c r="E83" s="331">
        <v>115363784</v>
      </c>
      <c r="F83" s="331">
        <v>119477</v>
      </c>
      <c r="G83" s="332">
        <f t="shared" si="2"/>
        <v>9.8695062421162084E-6</v>
      </c>
      <c r="H83" s="331">
        <v>131305</v>
      </c>
      <c r="I83" s="331">
        <v>0</v>
      </c>
      <c r="J83" s="331">
        <f t="shared" si="3"/>
        <v>131305</v>
      </c>
      <c r="K83" s="199">
        <v>2.15</v>
      </c>
      <c r="L83" s="199">
        <v>2.09</v>
      </c>
    </row>
    <row r="84" spans="1:12" ht="15" customHeight="1" x14ac:dyDescent="0.25">
      <c r="A84" s="49">
        <v>1990</v>
      </c>
      <c r="B84" s="330" t="s">
        <v>4</v>
      </c>
      <c r="C84" s="331">
        <v>12999549821</v>
      </c>
      <c r="D84" s="331">
        <v>5751261317</v>
      </c>
      <c r="E84" s="331">
        <v>118504975</v>
      </c>
      <c r="F84" s="331">
        <v>130216</v>
      </c>
      <c r="G84" s="332">
        <f t="shared" si="2"/>
        <v>1.001696226354268E-5</v>
      </c>
      <c r="H84" s="331">
        <v>135172</v>
      </c>
      <c r="I84" s="331">
        <v>0</v>
      </c>
      <c r="J84" s="331">
        <f t="shared" si="3"/>
        <v>135172</v>
      </c>
      <c r="K84" s="199">
        <v>2.06</v>
      </c>
      <c r="L84" s="199">
        <v>2.09</v>
      </c>
    </row>
    <row r="85" spans="1:12" ht="15" customHeight="1" x14ac:dyDescent="0.25">
      <c r="A85" s="49">
        <v>1991</v>
      </c>
      <c r="B85" s="330" t="s">
        <v>4</v>
      </c>
      <c r="C85" s="331">
        <v>13599499493</v>
      </c>
      <c r="D85" s="331">
        <v>5957867586</v>
      </c>
      <c r="E85" s="331">
        <v>118760109</v>
      </c>
      <c r="F85" s="331">
        <v>166150</v>
      </c>
      <c r="G85" s="332">
        <f t="shared" si="2"/>
        <v>1.2217361387860011E-5</v>
      </c>
      <c r="H85" s="331">
        <v>103629</v>
      </c>
      <c r="I85" s="331">
        <v>0</v>
      </c>
      <c r="J85" s="331">
        <f t="shared" si="3"/>
        <v>103629</v>
      </c>
      <c r="K85" s="199">
        <v>1.99</v>
      </c>
      <c r="L85" s="199">
        <v>2.09</v>
      </c>
    </row>
    <row r="86" spans="1:12" ht="15" customHeight="1" x14ac:dyDescent="0.25">
      <c r="A86" s="49">
        <v>1992</v>
      </c>
      <c r="B86" s="330" t="s">
        <v>4</v>
      </c>
      <c r="C86" s="331">
        <v>14805983290</v>
      </c>
      <c r="D86" s="331">
        <v>6180939855</v>
      </c>
      <c r="E86" s="331">
        <v>145966177</v>
      </c>
      <c r="F86" s="331">
        <v>172543</v>
      </c>
      <c r="G86" s="332">
        <f t="shared" si="2"/>
        <v>1.1653599536110243E-5</v>
      </c>
      <c r="H86" s="331">
        <v>81340</v>
      </c>
      <c r="I86" s="331">
        <v>0</v>
      </c>
      <c r="J86" s="331">
        <f t="shared" si="3"/>
        <v>81340</v>
      </c>
      <c r="K86" s="199">
        <v>2.36</v>
      </c>
      <c r="L86" s="199">
        <v>2.09</v>
      </c>
    </row>
    <row r="87" spans="1:12" ht="15" customHeight="1" x14ac:dyDescent="0.25">
      <c r="A87" s="49">
        <v>1993</v>
      </c>
      <c r="B87" s="330" t="s">
        <v>4</v>
      </c>
      <c r="C87" s="331">
        <v>15476678404</v>
      </c>
      <c r="D87" s="331">
        <v>6707789835</v>
      </c>
      <c r="E87" s="331">
        <v>193113216</v>
      </c>
      <c r="F87" s="331">
        <v>148597</v>
      </c>
      <c r="G87" s="332">
        <f t="shared" si="2"/>
        <v>9.6013495997690694E-6</v>
      </c>
      <c r="H87" s="331">
        <v>134432</v>
      </c>
      <c r="I87" s="331">
        <v>0</v>
      </c>
      <c r="J87" s="331">
        <f t="shared" si="3"/>
        <v>134432</v>
      </c>
      <c r="K87" s="199">
        <v>2.88</v>
      </c>
      <c r="L87" s="199">
        <v>2.09</v>
      </c>
    </row>
    <row r="88" spans="1:12" ht="15" customHeight="1" x14ac:dyDescent="0.25">
      <c r="A88" s="49">
        <v>1994</v>
      </c>
      <c r="B88" s="330" t="s">
        <v>4</v>
      </c>
      <c r="C88" s="331">
        <v>16668564746</v>
      </c>
      <c r="D88" s="331">
        <v>7425105759</v>
      </c>
      <c r="E88" s="331">
        <v>157710546</v>
      </c>
      <c r="F88" s="331">
        <v>146271</v>
      </c>
      <c r="G88" s="332">
        <f t="shared" si="2"/>
        <v>8.7752606315490388E-6</v>
      </c>
      <c r="H88" s="331">
        <v>169795</v>
      </c>
      <c r="I88" s="331">
        <v>0</v>
      </c>
      <c r="J88" s="331">
        <f t="shared" si="3"/>
        <v>169795</v>
      </c>
      <c r="K88" s="199">
        <v>2.12</v>
      </c>
      <c r="L88" s="199">
        <v>2.09</v>
      </c>
    </row>
    <row r="89" spans="1:12" ht="15" customHeight="1" x14ac:dyDescent="0.25">
      <c r="A89" s="49">
        <v>1995</v>
      </c>
      <c r="B89" s="330" t="s">
        <v>4</v>
      </c>
      <c r="C89" s="331">
        <v>17887019687</v>
      </c>
      <c r="D89" s="331">
        <v>7817421753</v>
      </c>
      <c r="E89" s="331">
        <v>156966970</v>
      </c>
      <c r="F89" s="331">
        <v>155585</v>
      </c>
      <c r="G89" s="332">
        <f t="shared" si="2"/>
        <v>8.6982070083523581E-6</v>
      </c>
      <c r="H89" s="331">
        <v>200866</v>
      </c>
      <c r="I89" s="331">
        <v>0</v>
      </c>
      <c r="J89" s="331">
        <f t="shared" si="3"/>
        <v>200866</v>
      </c>
      <c r="K89" s="199">
        <v>2.0099999999999998</v>
      </c>
      <c r="L89" s="199">
        <v>1.67</v>
      </c>
    </row>
    <row r="90" spans="1:12" ht="15" customHeight="1" x14ac:dyDescent="0.25">
      <c r="A90" s="49">
        <v>1996</v>
      </c>
      <c r="B90" s="330" t="s">
        <v>4</v>
      </c>
      <c r="C90" s="331">
        <v>18780778179</v>
      </c>
      <c r="D90" s="331">
        <v>7993176348</v>
      </c>
      <c r="E90" s="331">
        <v>155415398</v>
      </c>
      <c r="F90" s="331">
        <v>174152</v>
      </c>
      <c r="G90" s="332">
        <f t="shared" si="2"/>
        <v>9.2728851989067527E-6</v>
      </c>
      <c r="H90" s="331">
        <v>202784</v>
      </c>
      <c r="I90" s="331">
        <v>0</v>
      </c>
      <c r="J90" s="331">
        <f t="shared" si="3"/>
        <v>202784</v>
      </c>
      <c r="K90" s="199">
        <v>1.94</v>
      </c>
      <c r="L90" s="199">
        <v>1.64</v>
      </c>
    </row>
    <row r="91" spans="1:12" ht="15" customHeight="1" x14ac:dyDescent="0.25">
      <c r="A91" s="49">
        <v>1997</v>
      </c>
      <c r="B91" s="330" t="s">
        <v>4</v>
      </c>
      <c r="C91" s="331">
        <v>19989962240</v>
      </c>
      <c r="D91" s="331">
        <v>8262335123</v>
      </c>
      <c r="E91" s="331">
        <v>166898358</v>
      </c>
      <c r="F91" s="331">
        <v>173947</v>
      </c>
      <c r="G91" s="332">
        <f t="shared" si="2"/>
        <v>8.7017172874859824E-6</v>
      </c>
      <c r="H91" s="331">
        <v>204319</v>
      </c>
      <c r="I91" s="331">
        <v>0</v>
      </c>
      <c r="J91" s="331">
        <f t="shared" si="3"/>
        <v>204319</v>
      </c>
      <c r="K91" s="199">
        <v>2.02</v>
      </c>
      <c r="L91" s="199">
        <v>1.64</v>
      </c>
    </row>
    <row r="92" spans="1:12" ht="15" customHeight="1" x14ac:dyDescent="0.25">
      <c r="A92" s="49">
        <v>1998</v>
      </c>
      <c r="B92" s="330" t="s">
        <v>4</v>
      </c>
      <c r="C92" s="331">
        <v>21385509280</v>
      </c>
      <c r="D92" s="331">
        <v>8555281726</v>
      </c>
      <c r="E92" s="331">
        <v>173234697</v>
      </c>
      <c r="F92" s="331">
        <v>167267</v>
      </c>
      <c r="G92" s="332">
        <f t="shared" si="2"/>
        <v>7.8215111835765457E-6</v>
      </c>
      <c r="H92" s="331">
        <v>221853</v>
      </c>
      <c r="I92" s="331">
        <v>0</v>
      </c>
      <c r="J92" s="331">
        <f t="shared" si="3"/>
        <v>221853</v>
      </c>
      <c r="K92" s="199">
        <v>2.02</v>
      </c>
      <c r="L92" s="199">
        <v>1.64</v>
      </c>
    </row>
    <row r="93" spans="1:12" ht="15" customHeight="1" x14ac:dyDescent="0.25">
      <c r="A93" s="49">
        <v>1999</v>
      </c>
      <c r="B93" s="330" t="s">
        <v>4</v>
      </c>
      <c r="C93" s="331">
        <v>22648166191</v>
      </c>
      <c r="D93" s="331">
        <v>8807531185</v>
      </c>
      <c r="E93" s="331">
        <v>171418921</v>
      </c>
      <c r="F93" s="331">
        <v>153183</v>
      </c>
      <c r="G93" s="332">
        <f t="shared" si="2"/>
        <v>6.7635939575925732E-6</v>
      </c>
      <c r="H93" s="331">
        <v>242270</v>
      </c>
      <c r="I93" s="331">
        <v>0</v>
      </c>
      <c r="J93" s="331">
        <f t="shared" si="3"/>
        <v>242270</v>
      </c>
      <c r="K93" s="199">
        <v>1.95</v>
      </c>
      <c r="L93" s="199">
        <v>1.64</v>
      </c>
    </row>
    <row r="94" spans="1:12" ht="15" customHeight="1" x14ac:dyDescent="0.25">
      <c r="A94" s="49">
        <v>2000</v>
      </c>
      <c r="B94" s="330" t="s">
        <v>4</v>
      </c>
      <c r="C94" s="331">
        <v>23852762655</v>
      </c>
      <c r="D94" s="331">
        <v>9047883728</v>
      </c>
      <c r="E94" s="331">
        <v>172451115</v>
      </c>
      <c r="F94" s="331">
        <v>168301</v>
      </c>
      <c r="G94" s="332">
        <f t="shared" si="2"/>
        <v>7.0558283933085989E-6</v>
      </c>
      <c r="H94" s="331">
        <v>267932</v>
      </c>
      <c r="I94" s="331">
        <v>0</v>
      </c>
      <c r="J94" s="331">
        <f t="shared" si="3"/>
        <v>267932</v>
      </c>
      <c r="K94" s="199">
        <v>1.91</v>
      </c>
      <c r="L94" s="199">
        <v>1.64</v>
      </c>
    </row>
    <row r="95" spans="1:12" ht="15" customHeight="1" x14ac:dyDescent="0.25">
      <c r="A95" s="49">
        <v>2001</v>
      </c>
      <c r="B95" s="330" t="s">
        <v>4</v>
      </c>
      <c r="C95" s="331">
        <v>24468570991</v>
      </c>
      <c r="D95" s="331">
        <v>9003120842</v>
      </c>
      <c r="E95" s="331">
        <v>157899003</v>
      </c>
      <c r="F95" s="331">
        <v>266384</v>
      </c>
      <c r="G95" s="332">
        <f t="shared" si="2"/>
        <v>1.0886782072315585E-5</v>
      </c>
      <c r="H95" s="331">
        <v>179199</v>
      </c>
      <c r="I95" s="331">
        <v>0</v>
      </c>
      <c r="J95" s="331">
        <f t="shared" si="3"/>
        <v>179199</v>
      </c>
      <c r="K95" s="199">
        <v>1.75</v>
      </c>
      <c r="L95" s="199">
        <v>1.52</v>
      </c>
    </row>
    <row r="96" spans="1:12" ht="15" customHeight="1" x14ac:dyDescent="0.25">
      <c r="A96" s="49">
        <v>2002</v>
      </c>
      <c r="B96" s="330" t="s">
        <v>4</v>
      </c>
      <c r="C96" s="331">
        <v>24864381231</v>
      </c>
      <c r="D96" s="331">
        <v>8889434805</v>
      </c>
      <c r="E96" s="331">
        <v>169476551</v>
      </c>
      <c r="F96" s="331">
        <v>292729</v>
      </c>
      <c r="G96" s="332">
        <f t="shared" si="2"/>
        <v>1.1773025730277825E-5</v>
      </c>
      <c r="H96" s="331">
        <v>123877</v>
      </c>
      <c r="I96" s="331">
        <v>0</v>
      </c>
      <c r="J96" s="331">
        <f t="shared" si="3"/>
        <v>123877</v>
      </c>
      <c r="K96" s="199">
        <v>1.91</v>
      </c>
      <c r="L96" s="199">
        <v>1.52</v>
      </c>
    </row>
    <row r="97" spans="1:12" ht="15" customHeight="1" x14ac:dyDescent="0.25">
      <c r="A97" s="49">
        <v>2003</v>
      </c>
      <c r="B97" s="330" t="s">
        <v>4</v>
      </c>
      <c r="C97" s="331">
        <v>25371008454</v>
      </c>
      <c r="D97" s="331">
        <v>9155643471</v>
      </c>
      <c r="E97" s="331">
        <v>217137022</v>
      </c>
      <c r="F97" s="331">
        <v>285476</v>
      </c>
      <c r="G97" s="332">
        <f t="shared" si="2"/>
        <v>1.1252055688586229E-5</v>
      </c>
      <c r="H97" s="331">
        <v>61109</v>
      </c>
      <c r="I97" s="331">
        <v>0</v>
      </c>
      <c r="J97" s="331">
        <f t="shared" si="3"/>
        <v>61109</v>
      </c>
      <c r="K97" s="199">
        <v>2.37</v>
      </c>
      <c r="L97" s="199">
        <v>1.52</v>
      </c>
    </row>
    <row r="98" spans="1:12" ht="15" customHeight="1" x14ac:dyDescent="0.25">
      <c r="A98" s="49">
        <v>2004</v>
      </c>
      <c r="B98" s="330" t="s">
        <v>4</v>
      </c>
      <c r="C98" s="331">
        <v>26843231847</v>
      </c>
      <c r="D98" s="331">
        <v>9733343204</v>
      </c>
      <c r="E98" s="331">
        <v>245671075</v>
      </c>
      <c r="F98" s="331">
        <v>229339</v>
      </c>
      <c r="G98" s="332">
        <f t="shared" si="2"/>
        <v>8.5436433774881289E-6</v>
      </c>
      <c r="H98" s="331">
        <v>78584</v>
      </c>
      <c r="I98" s="331">
        <v>0</v>
      </c>
      <c r="J98" s="331">
        <f t="shared" si="3"/>
        <v>78584</v>
      </c>
      <c r="K98" s="199">
        <v>2.5299999999999998</v>
      </c>
      <c r="L98" s="199">
        <v>1.52</v>
      </c>
    </row>
    <row r="99" spans="1:12" ht="15" customHeight="1" x14ac:dyDescent="0.25">
      <c r="A99" s="49">
        <v>2005</v>
      </c>
      <c r="B99" s="330" t="s">
        <v>4</v>
      </c>
      <c r="C99" s="331">
        <v>28180496642</v>
      </c>
      <c r="D99" s="331">
        <v>9990314165</v>
      </c>
      <c r="E99" s="331">
        <v>256461056</v>
      </c>
      <c r="F99" s="331">
        <v>213365</v>
      </c>
      <c r="G99" s="332">
        <f t="shared" si="2"/>
        <v>7.5713711759785816E-6</v>
      </c>
      <c r="H99" s="331">
        <v>125376</v>
      </c>
      <c r="I99" s="331">
        <v>0</v>
      </c>
      <c r="J99" s="331">
        <f t="shared" si="3"/>
        <v>125376</v>
      </c>
      <c r="K99" s="199">
        <v>2.57</v>
      </c>
      <c r="L99" s="199">
        <v>1.52</v>
      </c>
    </row>
    <row r="100" spans="1:12" ht="15" customHeight="1" x14ac:dyDescent="0.25">
      <c r="A100" s="49">
        <v>2006</v>
      </c>
      <c r="B100" s="330" t="s">
        <v>4</v>
      </c>
      <c r="C100" s="331">
        <v>29640281763</v>
      </c>
      <c r="D100" s="331">
        <v>10198842719</v>
      </c>
      <c r="E100" s="331">
        <v>253940102</v>
      </c>
      <c r="F100" s="331">
        <v>229183</v>
      </c>
      <c r="G100" s="332">
        <f t="shared" si="2"/>
        <v>7.7321464698790211E-6</v>
      </c>
      <c r="H100" s="331">
        <v>168706</v>
      </c>
      <c r="I100" s="331">
        <v>0</v>
      </c>
      <c r="J100" s="331">
        <f t="shared" si="3"/>
        <v>168706</v>
      </c>
      <c r="K100" s="199">
        <v>2.4900000000000002</v>
      </c>
      <c r="L100" s="199">
        <v>1.52</v>
      </c>
    </row>
    <row r="101" spans="1:12" ht="15" customHeight="1" x14ac:dyDescent="0.25">
      <c r="A101" s="49">
        <v>2007</v>
      </c>
      <c r="B101" s="330" t="s">
        <v>4</v>
      </c>
      <c r="C101" s="331">
        <v>31491093563</v>
      </c>
      <c r="D101" s="331">
        <v>10459105059</v>
      </c>
      <c r="E101" s="331">
        <v>240448368</v>
      </c>
      <c r="F101" s="331">
        <v>269144</v>
      </c>
      <c r="G101" s="332">
        <f t="shared" si="2"/>
        <v>8.5466704883258429E-6</v>
      </c>
      <c r="H101" s="331">
        <v>151132</v>
      </c>
      <c r="I101" s="331">
        <v>0</v>
      </c>
      <c r="J101" s="331">
        <f t="shared" si="3"/>
        <v>151132</v>
      </c>
      <c r="K101" s="199">
        <v>2.2999999999999998</v>
      </c>
      <c r="L101" s="199">
        <v>1.52</v>
      </c>
    </row>
    <row r="102" spans="1:12" ht="15" customHeight="1" x14ac:dyDescent="0.25">
      <c r="A102" s="49">
        <v>2008</v>
      </c>
      <c r="B102" s="330" t="s">
        <v>4</v>
      </c>
      <c r="C102" s="331">
        <v>31902825588</v>
      </c>
      <c r="D102" s="331">
        <v>10360503984</v>
      </c>
      <c r="E102" s="331">
        <v>250264147</v>
      </c>
      <c r="F102" s="331">
        <v>318703</v>
      </c>
      <c r="G102" s="332">
        <f t="shared" si="2"/>
        <v>9.9898047939640069E-6</v>
      </c>
      <c r="H102" s="331">
        <v>82954</v>
      </c>
      <c r="I102" s="331">
        <v>0</v>
      </c>
      <c r="J102" s="331">
        <f t="shared" si="3"/>
        <v>82954</v>
      </c>
      <c r="K102" s="199">
        <v>2.4</v>
      </c>
      <c r="L102" s="199">
        <v>1.52</v>
      </c>
    </row>
    <row r="103" spans="1:12" ht="15" customHeight="1" x14ac:dyDescent="0.25">
      <c r="A103" s="49">
        <v>2009</v>
      </c>
      <c r="B103" s="330" t="s">
        <v>4</v>
      </c>
      <c r="C103" s="331">
        <v>31098703868</v>
      </c>
      <c r="D103" s="331">
        <v>9786285920</v>
      </c>
      <c r="E103" s="331">
        <v>247915941</v>
      </c>
      <c r="F103" s="331">
        <v>596216</v>
      </c>
      <c r="G103" s="332">
        <f t="shared" si="2"/>
        <v>1.917173148214371E-5</v>
      </c>
      <c r="H103" s="331">
        <v>13977</v>
      </c>
      <c r="I103" s="331">
        <v>222616</v>
      </c>
      <c r="J103" s="331">
        <f t="shared" si="3"/>
        <v>-208639</v>
      </c>
      <c r="K103" s="199">
        <v>2.5</v>
      </c>
      <c r="L103" s="199">
        <v>1.44</v>
      </c>
    </row>
    <row r="104" spans="1:12" ht="15" customHeight="1" x14ac:dyDescent="0.25">
      <c r="A104" s="49">
        <v>2010</v>
      </c>
      <c r="B104" s="330" t="s">
        <v>4</v>
      </c>
      <c r="C104" s="331">
        <v>31608717227</v>
      </c>
      <c r="D104" s="331">
        <v>11340295257</v>
      </c>
      <c r="E104" s="331">
        <v>345597290</v>
      </c>
      <c r="F104" s="331">
        <v>407235</v>
      </c>
      <c r="G104" s="332">
        <f t="shared" si="2"/>
        <v>1.2883629445491765E-5</v>
      </c>
      <c r="H104" s="331">
        <v>51800</v>
      </c>
      <c r="I104" s="331">
        <v>330853</v>
      </c>
      <c r="J104" s="331">
        <f t="shared" si="3"/>
        <v>-279053</v>
      </c>
      <c r="K104" s="199">
        <v>3</v>
      </c>
      <c r="L104" s="199">
        <v>1.48</v>
      </c>
    </row>
    <row r="105" spans="1:12" ht="15" customHeight="1" x14ac:dyDescent="0.25">
      <c r="A105" s="49">
        <v>2011</v>
      </c>
      <c r="B105" s="330" t="s">
        <v>4</v>
      </c>
      <c r="C105" s="331">
        <v>32874131691</v>
      </c>
      <c r="D105" s="331">
        <v>11487789993</v>
      </c>
      <c r="E105" s="331">
        <v>391528711</v>
      </c>
      <c r="F105" s="331">
        <v>340842</v>
      </c>
      <c r="G105" s="332">
        <f t="shared" si="2"/>
        <v>1.0368091337095691E-5</v>
      </c>
      <c r="H105" s="331">
        <v>87680</v>
      </c>
      <c r="I105" s="331">
        <v>330853</v>
      </c>
      <c r="J105" s="331">
        <f t="shared" si="3"/>
        <v>-243173</v>
      </c>
      <c r="K105" s="199">
        <v>3.4</v>
      </c>
      <c r="L105" s="199">
        <v>1.48</v>
      </c>
    </row>
    <row r="106" spans="1:12" x14ac:dyDescent="0.25">
      <c r="A106" s="49">
        <v>2012</v>
      </c>
      <c r="B106" s="330" t="s">
        <v>4</v>
      </c>
      <c r="C106" s="331">
        <v>34084500533</v>
      </c>
      <c r="D106" s="331">
        <v>11647185489</v>
      </c>
      <c r="E106" s="331">
        <v>405241935</v>
      </c>
      <c r="F106" s="331">
        <v>313939</v>
      </c>
      <c r="G106" s="332">
        <f t="shared" si="2"/>
        <v>9.2106087837798858E-6</v>
      </c>
      <c r="H106" s="331">
        <v>82306</v>
      </c>
      <c r="I106" s="331">
        <v>234438</v>
      </c>
      <c r="J106" s="331">
        <f t="shared" si="3"/>
        <v>-152132</v>
      </c>
      <c r="K106" s="199">
        <v>3.48</v>
      </c>
      <c r="L106" s="199">
        <v>1.48</v>
      </c>
    </row>
    <row r="107" spans="1:12" ht="15" customHeight="1" x14ac:dyDescent="0.25">
      <c r="A107" s="49">
        <v>2013</v>
      </c>
      <c r="B107" s="330" t="s">
        <v>4</v>
      </c>
      <c r="C107" s="331">
        <v>34750741888</v>
      </c>
      <c r="D107" s="331">
        <v>11660289970</v>
      </c>
      <c r="E107" s="331">
        <v>379972614</v>
      </c>
      <c r="F107" s="331">
        <v>259379</v>
      </c>
      <c r="G107" s="332">
        <f t="shared" si="2"/>
        <v>7.463984534084661E-6</v>
      </c>
      <c r="H107" s="331">
        <v>97251</v>
      </c>
      <c r="I107" s="331">
        <v>117352</v>
      </c>
      <c r="J107" s="331">
        <f t="shared" si="3"/>
        <v>-20101</v>
      </c>
      <c r="K107" s="199">
        <v>3.26</v>
      </c>
      <c r="L107" s="199">
        <v>1.48</v>
      </c>
    </row>
    <row r="108" spans="1:12" ht="15" customHeight="1" x14ac:dyDescent="0.25">
      <c r="A108" s="49">
        <v>2014</v>
      </c>
      <c r="B108" s="330" t="s">
        <v>4</v>
      </c>
      <c r="C108" s="331">
        <v>36193051786</v>
      </c>
      <c r="D108" s="331">
        <v>11919035738</v>
      </c>
      <c r="E108" s="331">
        <v>373183261</v>
      </c>
      <c r="F108" s="331">
        <v>211910</v>
      </c>
      <c r="G108" s="332">
        <f t="shared" si="2"/>
        <v>5.8549912080630313E-6</v>
      </c>
      <c r="H108" s="331">
        <v>237708</v>
      </c>
      <c r="I108" s="331">
        <v>0</v>
      </c>
      <c r="J108" s="331">
        <f t="shared" si="3"/>
        <v>237708</v>
      </c>
      <c r="K108" s="333">
        <v>3.1309853347467156</v>
      </c>
      <c r="L108" s="199">
        <v>1.48</v>
      </c>
    </row>
    <row r="109" spans="1:12" ht="15" customHeight="1" x14ac:dyDescent="0.25">
      <c r="A109" s="49">
        <v>2015</v>
      </c>
      <c r="B109" s="330" t="s">
        <v>4</v>
      </c>
      <c r="C109" s="334">
        <v>37650355000</v>
      </c>
      <c r="D109" s="334">
        <v>12258273000</v>
      </c>
      <c r="E109" s="334">
        <v>335027000</v>
      </c>
      <c r="F109" s="331">
        <v>199805</v>
      </c>
      <c r="G109" s="332">
        <f t="shared" si="2"/>
        <v>5.3068556724099945E-6</v>
      </c>
      <c r="H109" s="331">
        <v>384596</v>
      </c>
      <c r="I109" s="199">
        <v>0</v>
      </c>
      <c r="J109" s="331">
        <f t="shared" si="3"/>
        <v>384596</v>
      </c>
      <c r="K109" s="199">
        <v>2.7</v>
      </c>
      <c r="L109" s="199">
        <v>1.48</v>
      </c>
    </row>
    <row r="110" spans="1:12" ht="15" customHeight="1" x14ac:dyDescent="0.25">
      <c r="A110" s="49">
        <v>1980</v>
      </c>
      <c r="B110" s="330" t="s">
        <v>5</v>
      </c>
      <c r="C110" s="331">
        <v>10879768617</v>
      </c>
      <c r="D110" s="331">
        <v>5017135663</v>
      </c>
      <c r="E110" s="331">
        <v>81354647</v>
      </c>
      <c r="F110" s="331">
        <v>71151</v>
      </c>
      <c r="G110" s="332">
        <f t="shared" si="2"/>
        <v>6.5397530503382399E-6</v>
      </c>
      <c r="H110" s="331">
        <v>267259</v>
      </c>
      <c r="I110" s="331">
        <v>0</v>
      </c>
      <c r="J110" s="331">
        <f t="shared" si="3"/>
        <v>267259</v>
      </c>
      <c r="K110" s="199">
        <v>1.62</v>
      </c>
      <c r="L110" s="199">
        <v>1.67</v>
      </c>
    </row>
    <row r="111" spans="1:12" ht="15" customHeight="1" x14ac:dyDescent="0.25">
      <c r="A111" s="49">
        <v>1981</v>
      </c>
      <c r="B111" s="330" t="s">
        <v>5</v>
      </c>
      <c r="C111" s="331">
        <v>12270209393</v>
      </c>
      <c r="D111" s="331">
        <v>5269127694</v>
      </c>
      <c r="E111" s="331">
        <v>67959814</v>
      </c>
      <c r="F111" s="331">
        <v>73566</v>
      </c>
      <c r="G111" s="332">
        <f t="shared" si="2"/>
        <v>5.9954967061905622E-6</v>
      </c>
      <c r="H111" s="331">
        <v>295531</v>
      </c>
      <c r="I111" s="331">
        <v>0</v>
      </c>
      <c r="J111" s="331">
        <f t="shared" si="3"/>
        <v>295531</v>
      </c>
      <c r="K111" s="199">
        <v>1.29</v>
      </c>
      <c r="L111" s="199">
        <v>1.67</v>
      </c>
    </row>
    <row r="112" spans="1:12" ht="15" customHeight="1" x14ac:dyDescent="0.25">
      <c r="A112" s="49">
        <v>1982</v>
      </c>
      <c r="B112" s="330" t="s">
        <v>5</v>
      </c>
      <c r="C112" s="331">
        <v>12621157313</v>
      </c>
      <c r="D112" s="331">
        <v>5175609062</v>
      </c>
      <c r="E112" s="331">
        <v>61340904</v>
      </c>
      <c r="F112" s="331">
        <v>163525</v>
      </c>
      <c r="G112" s="332">
        <f t="shared" si="2"/>
        <v>1.2956418808881065E-5</v>
      </c>
      <c r="H112" s="331">
        <v>215257</v>
      </c>
      <c r="I112" s="331">
        <v>0</v>
      </c>
      <c r="J112" s="331">
        <f t="shared" si="3"/>
        <v>215257</v>
      </c>
      <c r="K112" s="199">
        <v>1.19</v>
      </c>
      <c r="L112" s="199">
        <v>1.75</v>
      </c>
    </row>
    <row r="113" spans="1:12" ht="15" customHeight="1" x14ac:dyDescent="0.25">
      <c r="A113" s="49">
        <v>1983</v>
      </c>
      <c r="B113" s="330" t="s">
        <v>5</v>
      </c>
      <c r="C113" s="331">
        <v>13863215634</v>
      </c>
      <c r="D113" s="331">
        <v>6137919878</v>
      </c>
      <c r="E113" s="331">
        <v>68784914</v>
      </c>
      <c r="F113" s="331">
        <v>124890</v>
      </c>
      <c r="G113" s="332">
        <f t="shared" si="2"/>
        <v>9.0087324108054041E-6</v>
      </c>
      <c r="H113" s="331">
        <v>171861</v>
      </c>
      <c r="I113" s="331">
        <v>0</v>
      </c>
      <c r="J113" s="331">
        <f t="shared" si="3"/>
        <v>171861</v>
      </c>
      <c r="K113" s="199">
        <v>1.1200000000000001</v>
      </c>
      <c r="L113" s="199">
        <v>1.75</v>
      </c>
    </row>
    <row r="114" spans="1:12" ht="15" customHeight="1" x14ac:dyDescent="0.25">
      <c r="A114" s="49">
        <v>1984</v>
      </c>
      <c r="B114" s="330" t="s">
        <v>5</v>
      </c>
      <c r="C114" s="331">
        <v>16051804347</v>
      </c>
      <c r="D114" s="331">
        <v>6956303201</v>
      </c>
      <c r="E114" s="331">
        <v>134654065</v>
      </c>
      <c r="F114" s="331">
        <v>72235</v>
      </c>
      <c r="G114" s="332">
        <f t="shared" si="2"/>
        <v>4.5001171481074244E-6</v>
      </c>
      <c r="H114" s="331">
        <v>246279</v>
      </c>
      <c r="I114" s="331">
        <v>0</v>
      </c>
      <c r="J114" s="331">
        <f t="shared" si="3"/>
        <v>246279</v>
      </c>
      <c r="K114" s="199">
        <v>1.94</v>
      </c>
      <c r="L114" s="199">
        <v>1.75</v>
      </c>
    </row>
    <row r="115" spans="1:12" ht="15" customHeight="1" x14ac:dyDescent="0.25">
      <c r="A115" s="49">
        <v>1985</v>
      </c>
      <c r="B115" s="330" t="s">
        <v>5</v>
      </c>
      <c r="C115" s="331">
        <v>18096920302</v>
      </c>
      <c r="D115" s="331">
        <v>7633039039</v>
      </c>
      <c r="E115" s="331">
        <v>140301196</v>
      </c>
      <c r="F115" s="331">
        <v>80668</v>
      </c>
      <c r="G115" s="332">
        <f t="shared" si="2"/>
        <v>4.4575540287418348E-6</v>
      </c>
      <c r="H115" s="331">
        <v>336408</v>
      </c>
      <c r="I115" s="331">
        <v>0</v>
      </c>
      <c r="J115" s="331">
        <f t="shared" si="3"/>
        <v>336408</v>
      </c>
      <c r="K115" s="199">
        <v>1.84</v>
      </c>
      <c r="L115" s="199">
        <v>1.75</v>
      </c>
    </row>
    <row r="116" spans="1:12" ht="15" customHeight="1" x14ac:dyDescent="0.25">
      <c r="A116" s="49">
        <v>1986</v>
      </c>
      <c r="B116" s="330" t="s">
        <v>5</v>
      </c>
      <c r="C116" s="331">
        <v>19822265695</v>
      </c>
      <c r="D116" s="331">
        <v>8032929757</v>
      </c>
      <c r="E116" s="331">
        <v>123557979</v>
      </c>
      <c r="F116" s="331">
        <v>106452</v>
      </c>
      <c r="G116" s="332">
        <f t="shared" si="2"/>
        <v>5.3703245450317829E-6</v>
      </c>
      <c r="H116" s="331">
        <v>394367</v>
      </c>
      <c r="I116" s="331">
        <v>0</v>
      </c>
      <c r="J116" s="331">
        <f t="shared" si="3"/>
        <v>394367</v>
      </c>
      <c r="K116" s="199">
        <v>1.54</v>
      </c>
      <c r="L116" s="199">
        <v>1.75</v>
      </c>
    </row>
    <row r="117" spans="1:12" ht="15" customHeight="1" x14ac:dyDescent="0.25">
      <c r="A117" s="49">
        <v>1987</v>
      </c>
      <c r="B117" s="330" t="s">
        <v>5</v>
      </c>
      <c r="C117" s="331">
        <v>21273534569</v>
      </c>
      <c r="D117" s="331">
        <v>8492866714</v>
      </c>
      <c r="E117" s="331">
        <v>113596089</v>
      </c>
      <c r="F117" s="331">
        <v>120490</v>
      </c>
      <c r="G117" s="332">
        <f t="shared" si="2"/>
        <v>5.6638448871387455E-6</v>
      </c>
      <c r="H117" s="331">
        <v>425884</v>
      </c>
      <c r="I117" s="331">
        <v>0</v>
      </c>
      <c r="J117" s="331">
        <f t="shared" si="3"/>
        <v>425884</v>
      </c>
      <c r="K117" s="199">
        <v>1.34</v>
      </c>
      <c r="L117" s="199">
        <v>1.75</v>
      </c>
    </row>
    <row r="118" spans="1:12" ht="15" customHeight="1" x14ac:dyDescent="0.25">
      <c r="A118" s="49">
        <v>1988</v>
      </c>
      <c r="B118" s="330" t="s">
        <v>5</v>
      </c>
      <c r="C118" s="331">
        <v>22804210774</v>
      </c>
      <c r="D118" s="331">
        <v>8751773346</v>
      </c>
      <c r="E118" s="331">
        <v>117484377</v>
      </c>
      <c r="F118" s="331">
        <v>110348</v>
      </c>
      <c r="G118" s="332">
        <f t="shared" si="2"/>
        <v>4.8389308927898618E-6</v>
      </c>
      <c r="H118" s="331">
        <v>466447</v>
      </c>
      <c r="I118" s="331">
        <v>0</v>
      </c>
      <c r="J118" s="331">
        <f t="shared" si="3"/>
        <v>466447</v>
      </c>
      <c r="K118" s="199">
        <v>1.34</v>
      </c>
      <c r="L118" s="199">
        <v>1.75</v>
      </c>
    </row>
    <row r="119" spans="1:12" ht="15" customHeight="1" x14ac:dyDescent="0.25">
      <c r="A119" s="49">
        <v>1989</v>
      </c>
      <c r="B119" s="330" t="s">
        <v>5</v>
      </c>
      <c r="C119" s="331">
        <v>23775631299</v>
      </c>
      <c r="D119" s="331">
        <v>8803817260</v>
      </c>
      <c r="E119" s="331">
        <v>103382106</v>
      </c>
      <c r="F119" s="331">
        <v>120576</v>
      </c>
      <c r="G119" s="332">
        <f t="shared" si="2"/>
        <v>5.0714110798425533E-6</v>
      </c>
      <c r="H119" s="331">
        <v>492874</v>
      </c>
      <c r="I119" s="331">
        <v>0</v>
      </c>
      <c r="J119" s="331">
        <f t="shared" si="3"/>
        <v>492874</v>
      </c>
      <c r="K119" s="199">
        <v>1.17</v>
      </c>
      <c r="L119" s="199">
        <v>1.75</v>
      </c>
    </row>
    <row r="120" spans="1:12" ht="15" customHeight="1" x14ac:dyDescent="0.25">
      <c r="A120" s="49">
        <v>1990</v>
      </c>
      <c r="B120" s="330" t="s">
        <v>5</v>
      </c>
      <c r="C120" s="331">
        <v>24876685361</v>
      </c>
      <c r="D120" s="331">
        <v>8921606682</v>
      </c>
      <c r="E120" s="331">
        <v>101874001</v>
      </c>
      <c r="F120" s="331">
        <v>136712</v>
      </c>
      <c r="G120" s="332">
        <f t="shared" si="2"/>
        <v>5.4955874553258573E-6</v>
      </c>
      <c r="H120" s="331">
        <v>497785</v>
      </c>
      <c r="I120" s="331">
        <v>0</v>
      </c>
      <c r="J120" s="331">
        <f t="shared" si="3"/>
        <v>497785</v>
      </c>
      <c r="K120" s="199">
        <v>1.1399999999999999</v>
      </c>
      <c r="L120" s="199">
        <v>1.75</v>
      </c>
    </row>
    <row r="121" spans="1:12" ht="15" customHeight="1" x14ac:dyDescent="0.25">
      <c r="A121" s="49">
        <v>1991</v>
      </c>
      <c r="B121" s="330" t="s">
        <v>5</v>
      </c>
      <c r="C121" s="331">
        <v>25624184888</v>
      </c>
      <c r="D121" s="331">
        <v>9025384503</v>
      </c>
      <c r="E121" s="331">
        <v>93033663</v>
      </c>
      <c r="F121" s="331">
        <v>192750</v>
      </c>
      <c r="G121" s="332">
        <f t="shared" si="2"/>
        <v>7.5221904947410168E-6</v>
      </c>
      <c r="H121" s="331">
        <v>437867</v>
      </c>
      <c r="I121" s="331">
        <v>0</v>
      </c>
      <c r="J121" s="331">
        <f t="shared" si="3"/>
        <v>437867</v>
      </c>
      <c r="K121" s="199">
        <v>1.03</v>
      </c>
      <c r="L121" s="199">
        <v>1.75</v>
      </c>
    </row>
    <row r="122" spans="1:12" ht="15" customHeight="1" x14ac:dyDescent="0.25">
      <c r="A122" s="49">
        <v>1992</v>
      </c>
      <c r="B122" s="330" t="s">
        <v>5</v>
      </c>
      <c r="C122" s="331">
        <v>27354911157</v>
      </c>
      <c r="D122" s="331">
        <v>9217013673</v>
      </c>
      <c r="E122" s="331">
        <v>103835472</v>
      </c>
      <c r="F122" s="331">
        <v>206249</v>
      </c>
      <c r="G122" s="332">
        <f t="shared" si="2"/>
        <v>7.5397430032311327E-6</v>
      </c>
      <c r="H122" s="331">
        <v>372423</v>
      </c>
      <c r="I122" s="331">
        <v>0</v>
      </c>
      <c r="J122" s="331">
        <f t="shared" si="3"/>
        <v>372423</v>
      </c>
      <c r="K122" s="199">
        <v>1.1299999999999999</v>
      </c>
      <c r="L122" s="199">
        <v>1.75</v>
      </c>
    </row>
    <row r="123" spans="1:12" ht="15" customHeight="1" x14ac:dyDescent="0.25">
      <c r="A123" s="49">
        <v>1993</v>
      </c>
      <c r="B123" s="330" t="s">
        <v>5</v>
      </c>
      <c r="C123" s="331">
        <v>29246098781</v>
      </c>
      <c r="D123" s="331">
        <v>9855358555</v>
      </c>
      <c r="E123" s="331">
        <v>147800805</v>
      </c>
      <c r="F123" s="331">
        <v>169144</v>
      </c>
      <c r="G123" s="332">
        <f t="shared" si="2"/>
        <v>5.7834722253583433E-6</v>
      </c>
      <c r="H123" s="331">
        <v>368782</v>
      </c>
      <c r="I123" s="331">
        <v>0</v>
      </c>
      <c r="J123" s="331">
        <f t="shared" si="3"/>
        <v>368782</v>
      </c>
      <c r="K123" s="199">
        <v>1.5</v>
      </c>
      <c r="L123" s="199">
        <v>1.75</v>
      </c>
    </row>
    <row r="124" spans="1:12" ht="15" customHeight="1" x14ac:dyDescent="0.25">
      <c r="A124" s="49">
        <v>1994</v>
      </c>
      <c r="B124" s="330" t="s">
        <v>5</v>
      </c>
      <c r="C124" s="331">
        <v>32402147773</v>
      </c>
      <c r="D124" s="331">
        <v>10833230286</v>
      </c>
      <c r="E124" s="331">
        <v>196806233</v>
      </c>
      <c r="F124" s="331">
        <v>156586</v>
      </c>
      <c r="G124" s="332">
        <f t="shared" si="2"/>
        <v>4.8325808862114902E-6</v>
      </c>
      <c r="H124" s="331">
        <v>432449</v>
      </c>
      <c r="I124" s="331">
        <v>0</v>
      </c>
      <c r="J124" s="331">
        <f t="shared" si="3"/>
        <v>432449</v>
      </c>
      <c r="K124" s="199">
        <v>1.82</v>
      </c>
      <c r="L124" s="199">
        <v>1.75</v>
      </c>
    </row>
    <row r="125" spans="1:12" ht="15" customHeight="1" x14ac:dyDescent="0.25">
      <c r="A125" s="49">
        <v>1995</v>
      </c>
      <c r="B125" s="330" t="s">
        <v>5</v>
      </c>
      <c r="C125" s="331">
        <v>36126928641</v>
      </c>
      <c r="D125" s="331">
        <v>11835300049</v>
      </c>
      <c r="E125" s="331">
        <v>219583274</v>
      </c>
      <c r="F125" s="331">
        <v>150266</v>
      </c>
      <c r="G125" s="332">
        <f t="shared" si="2"/>
        <v>4.1593903952705511E-6</v>
      </c>
      <c r="H125" s="331">
        <v>534640</v>
      </c>
      <c r="I125" s="331">
        <v>0</v>
      </c>
      <c r="J125" s="331">
        <f t="shared" si="3"/>
        <v>534640</v>
      </c>
      <c r="K125" s="199">
        <v>1.86</v>
      </c>
      <c r="L125" s="199">
        <v>1.22</v>
      </c>
    </row>
    <row r="126" spans="1:12" ht="15" customHeight="1" x14ac:dyDescent="0.25">
      <c r="A126" s="49">
        <v>1996</v>
      </c>
      <c r="B126" s="330" t="s">
        <v>5</v>
      </c>
      <c r="C126" s="331">
        <v>40038265470</v>
      </c>
      <c r="D126" s="331">
        <v>12649257276</v>
      </c>
      <c r="E126" s="331">
        <v>209109859</v>
      </c>
      <c r="F126" s="331">
        <v>159386</v>
      </c>
      <c r="G126" s="332">
        <f t="shared" si="2"/>
        <v>3.9808417804568798E-6</v>
      </c>
      <c r="H126" s="331">
        <v>627059</v>
      </c>
      <c r="I126" s="331">
        <v>0</v>
      </c>
      <c r="J126" s="331">
        <f t="shared" si="3"/>
        <v>627059</v>
      </c>
      <c r="K126" s="199">
        <v>1.65</v>
      </c>
      <c r="L126" s="199">
        <v>1.01</v>
      </c>
    </row>
    <row r="127" spans="1:12" ht="15" customHeight="1" x14ac:dyDescent="0.25">
      <c r="A127" s="49">
        <v>1997</v>
      </c>
      <c r="B127" s="330" t="s">
        <v>5</v>
      </c>
      <c r="C127" s="331">
        <v>44188080982</v>
      </c>
      <c r="D127" s="331">
        <v>13599533342</v>
      </c>
      <c r="E127" s="331">
        <v>206675269</v>
      </c>
      <c r="F127" s="331">
        <v>136208</v>
      </c>
      <c r="G127" s="332">
        <f t="shared" si="2"/>
        <v>3.0824601786957955E-6</v>
      </c>
      <c r="H127" s="331">
        <v>741050</v>
      </c>
      <c r="I127" s="331">
        <v>0</v>
      </c>
      <c r="J127" s="331">
        <f t="shared" si="3"/>
        <v>741050</v>
      </c>
      <c r="K127" s="199">
        <v>1.52</v>
      </c>
      <c r="L127" s="199">
        <v>1</v>
      </c>
    </row>
    <row r="128" spans="1:12" ht="15" customHeight="1" x14ac:dyDescent="0.25">
      <c r="A128" s="49">
        <v>1998</v>
      </c>
      <c r="B128" s="330" t="s">
        <v>5</v>
      </c>
      <c r="C128" s="331">
        <v>49450961002</v>
      </c>
      <c r="D128" s="331">
        <v>14456441834</v>
      </c>
      <c r="E128" s="331">
        <v>189000647</v>
      </c>
      <c r="F128" s="331">
        <v>133868</v>
      </c>
      <c r="G128" s="332">
        <f t="shared" si="2"/>
        <v>2.7070859147628258E-6</v>
      </c>
      <c r="H128" s="331">
        <v>855593</v>
      </c>
      <c r="I128" s="331">
        <v>0</v>
      </c>
      <c r="J128" s="331">
        <f t="shared" si="3"/>
        <v>855593</v>
      </c>
      <c r="K128" s="199">
        <v>1.31</v>
      </c>
      <c r="L128" s="199">
        <v>1</v>
      </c>
    </row>
    <row r="129" spans="1:12" ht="15" customHeight="1" x14ac:dyDescent="0.25">
      <c r="A129" s="49">
        <v>1999</v>
      </c>
      <c r="B129" s="330" t="s">
        <v>5</v>
      </c>
      <c r="C129" s="331">
        <v>53635160059</v>
      </c>
      <c r="D129" s="331">
        <v>15179587318</v>
      </c>
      <c r="E129" s="331">
        <v>164552438</v>
      </c>
      <c r="F129" s="331">
        <v>143321</v>
      </c>
      <c r="G129" s="332">
        <f t="shared" si="2"/>
        <v>2.6721464025155023E-6</v>
      </c>
      <c r="H129" s="331">
        <v>927461</v>
      </c>
      <c r="I129" s="331">
        <v>0</v>
      </c>
      <c r="J129" s="331">
        <f t="shared" si="3"/>
        <v>927461</v>
      </c>
      <c r="K129" s="199">
        <v>1.08</v>
      </c>
      <c r="L129" s="199">
        <v>1</v>
      </c>
    </row>
    <row r="130" spans="1:12" ht="15" customHeight="1" x14ac:dyDescent="0.25">
      <c r="A130" s="49">
        <v>2000</v>
      </c>
      <c r="B130" s="330" t="s">
        <v>5</v>
      </c>
      <c r="C130" s="331">
        <v>59611699508</v>
      </c>
      <c r="D130" s="331">
        <v>16086128668</v>
      </c>
      <c r="E130" s="331">
        <v>172266746</v>
      </c>
      <c r="F130" s="331">
        <v>154213</v>
      </c>
      <c r="G130" s="332">
        <f t="shared" ref="G130:G193" si="4">F130/C130</f>
        <v>2.586958621760219E-6</v>
      </c>
      <c r="H130" s="331">
        <v>1002874</v>
      </c>
      <c r="I130" s="331">
        <v>0</v>
      </c>
      <c r="J130" s="331">
        <f t="shared" ref="J130:J193" si="5">H130-I130</f>
        <v>1002874</v>
      </c>
      <c r="K130" s="199">
        <v>1.07</v>
      </c>
      <c r="L130" s="199">
        <v>1</v>
      </c>
    </row>
    <row r="131" spans="1:12" ht="15" customHeight="1" x14ac:dyDescent="0.25">
      <c r="A131" s="49">
        <v>2001</v>
      </c>
      <c r="B131" s="330" t="s">
        <v>5</v>
      </c>
      <c r="C131" s="331">
        <v>60682729545</v>
      </c>
      <c r="D131" s="331">
        <v>15964372064</v>
      </c>
      <c r="E131" s="331">
        <v>139153985</v>
      </c>
      <c r="F131" s="331">
        <v>265181</v>
      </c>
      <c r="G131" s="332">
        <f t="shared" si="4"/>
        <v>4.3699583388606786E-6</v>
      </c>
      <c r="H131" s="331">
        <v>953993</v>
      </c>
      <c r="I131" s="331">
        <v>0</v>
      </c>
      <c r="J131" s="331">
        <f t="shared" si="5"/>
        <v>953993</v>
      </c>
      <c r="K131" s="199">
        <v>0.87</v>
      </c>
      <c r="L131" s="199">
        <v>1</v>
      </c>
    </row>
    <row r="132" spans="1:12" ht="15" customHeight="1" x14ac:dyDescent="0.25">
      <c r="A132" s="49">
        <v>2002</v>
      </c>
      <c r="B132" s="330" t="s">
        <v>5</v>
      </c>
      <c r="C132" s="331">
        <v>60907110598</v>
      </c>
      <c r="D132" s="331">
        <v>15628232977</v>
      </c>
      <c r="E132" s="331">
        <v>130211982</v>
      </c>
      <c r="F132" s="331">
        <v>369966</v>
      </c>
      <c r="G132" s="332">
        <f t="shared" si="4"/>
        <v>6.0742661467206186E-6</v>
      </c>
      <c r="H132" s="331">
        <v>925699</v>
      </c>
      <c r="I132" s="331">
        <v>0</v>
      </c>
      <c r="J132" s="331">
        <f t="shared" si="5"/>
        <v>925699</v>
      </c>
      <c r="K132" s="199">
        <v>0.83</v>
      </c>
      <c r="L132" s="199">
        <v>1</v>
      </c>
    </row>
    <row r="133" spans="1:12" ht="15" customHeight="1" x14ac:dyDescent="0.25">
      <c r="A133" s="49">
        <v>2003</v>
      </c>
      <c r="B133" s="330" t="s">
        <v>5</v>
      </c>
      <c r="C133" s="331">
        <v>63424675784</v>
      </c>
      <c r="D133" s="331">
        <v>15862508154</v>
      </c>
      <c r="E133" s="331">
        <v>130955695</v>
      </c>
      <c r="F133" s="331">
        <v>348413</v>
      </c>
      <c r="G133" s="332">
        <f t="shared" si="4"/>
        <v>5.4933351364153663E-6</v>
      </c>
      <c r="H133" s="331">
        <v>749730</v>
      </c>
      <c r="I133" s="331">
        <v>0</v>
      </c>
      <c r="J133" s="331">
        <f t="shared" si="5"/>
        <v>749730</v>
      </c>
      <c r="K133" s="199">
        <v>0.83</v>
      </c>
      <c r="L133" s="199">
        <v>1</v>
      </c>
    </row>
    <row r="134" spans="1:12" ht="15" customHeight="1" x14ac:dyDescent="0.25">
      <c r="A134" s="49">
        <v>2004</v>
      </c>
      <c r="B134" s="330" t="s">
        <v>5</v>
      </c>
      <c r="C134" s="331">
        <v>69082210391</v>
      </c>
      <c r="D134" s="331">
        <v>16831695045</v>
      </c>
      <c r="E134" s="331">
        <v>177453689</v>
      </c>
      <c r="F134" s="331">
        <v>276171</v>
      </c>
      <c r="G134" s="332">
        <f t="shared" si="4"/>
        <v>3.9977151633813299E-6</v>
      </c>
      <c r="H134" s="331">
        <v>689163</v>
      </c>
      <c r="I134" s="331">
        <v>0</v>
      </c>
      <c r="J134" s="331">
        <f t="shared" si="5"/>
        <v>689163</v>
      </c>
      <c r="K134" s="199">
        <v>1.05</v>
      </c>
      <c r="L134" s="199">
        <v>1</v>
      </c>
    </row>
    <row r="135" spans="1:12" ht="15" customHeight="1" x14ac:dyDescent="0.25">
      <c r="A135" s="49">
        <v>2005</v>
      </c>
      <c r="B135" s="330" t="s">
        <v>5</v>
      </c>
      <c r="C135" s="331">
        <v>76609254604</v>
      </c>
      <c r="D135" s="331">
        <v>18253881628</v>
      </c>
      <c r="E135" s="331">
        <v>254566413</v>
      </c>
      <c r="F135" s="331">
        <v>224909</v>
      </c>
      <c r="G135" s="332">
        <f t="shared" si="4"/>
        <v>2.9357941303903094E-6</v>
      </c>
      <c r="H135" s="331">
        <v>762809</v>
      </c>
      <c r="I135" s="331">
        <v>0</v>
      </c>
      <c r="J135" s="331">
        <f t="shared" si="5"/>
        <v>762809</v>
      </c>
      <c r="K135" s="199">
        <v>1.39</v>
      </c>
      <c r="L135" s="199">
        <v>1</v>
      </c>
    </row>
    <row r="136" spans="1:12" ht="15" customHeight="1" x14ac:dyDescent="0.25">
      <c r="A136" s="49">
        <v>2006</v>
      </c>
      <c r="B136" s="330" t="s">
        <v>5</v>
      </c>
      <c r="C136" s="331">
        <v>84765831853</v>
      </c>
      <c r="D136" s="331">
        <v>19666903827</v>
      </c>
      <c r="E136" s="331">
        <v>291294830</v>
      </c>
      <c r="F136" s="331">
        <v>194129</v>
      </c>
      <c r="G136" s="332">
        <f t="shared" si="4"/>
        <v>2.2901798490771191E-6</v>
      </c>
      <c r="H136" s="331">
        <v>905040</v>
      </c>
      <c r="I136" s="331">
        <v>0</v>
      </c>
      <c r="J136" s="331">
        <f t="shared" si="5"/>
        <v>905040</v>
      </c>
      <c r="K136" s="199">
        <v>1.48</v>
      </c>
      <c r="L136" s="199">
        <v>1</v>
      </c>
    </row>
    <row r="137" spans="1:12" ht="15" customHeight="1" x14ac:dyDescent="0.25">
      <c r="A137" s="49">
        <v>2007</v>
      </c>
      <c r="B137" s="330" t="s">
        <v>5</v>
      </c>
      <c r="C137" s="331">
        <v>88605022414</v>
      </c>
      <c r="D137" s="331">
        <v>19804968443</v>
      </c>
      <c r="E137" s="331">
        <v>298260795</v>
      </c>
      <c r="F137" s="331">
        <v>264066</v>
      </c>
      <c r="G137" s="332">
        <f t="shared" si="4"/>
        <v>2.9802599537323332E-6</v>
      </c>
      <c r="H137" s="331">
        <v>990481</v>
      </c>
      <c r="I137" s="331">
        <v>0</v>
      </c>
      <c r="J137" s="331">
        <f t="shared" si="5"/>
        <v>990481</v>
      </c>
      <c r="K137" s="199">
        <v>1.51</v>
      </c>
      <c r="L137" s="199">
        <v>1</v>
      </c>
    </row>
    <row r="138" spans="1:12" ht="15" customHeight="1" x14ac:dyDescent="0.25">
      <c r="A138" s="49">
        <v>2008</v>
      </c>
      <c r="B138" s="330" t="s">
        <v>5</v>
      </c>
      <c r="C138" s="331">
        <v>87039911543</v>
      </c>
      <c r="D138" s="331">
        <v>18619716140</v>
      </c>
      <c r="E138" s="331">
        <v>256368648</v>
      </c>
      <c r="F138" s="331">
        <v>432139</v>
      </c>
      <c r="G138" s="332">
        <f t="shared" si="4"/>
        <v>4.9648373066936309E-6</v>
      </c>
      <c r="H138" s="331">
        <v>866980</v>
      </c>
      <c r="I138" s="331">
        <v>0</v>
      </c>
      <c r="J138" s="331">
        <f t="shared" si="5"/>
        <v>866980</v>
      </c>
      <c r="K138" s="199">
        <v>1.4</v>
      </c>
      <c r="L138" s="199">
        <v>1</v>
      </c>
    </row>
    <row r="139" spans="1:12" ht="15" customHeight="1" x14ac:dyDescent="0.25">
      <c r="A139" s="49">
        <v>2009</v>
      </c>
      <c r="B139" s="330" t="s">
        <v>5</v>
      </c>
      <c r="C139" s="331">
        <v>79605030654</v>
      </c>
      <c r="D139" s="331">
        <v>16348252288</v>
      </c>
      <c r="E139" s="331">
        <v>216872413</v>
      </c>
      <c r="F139" s="331">
        <v>961487</v>
      </c>
      <c r="G139" s="332">
        <f t="shared" si="4"/>
        <v>1.2078219078629136E-5</v>
      </c>
      <c r="H139" s="331">
        <v>168909</v>
      </c>
      <c r="I139" s="331">
        <v>0</v>
      </c>
      <c r="J139" s="331">
        <f t="shared" si="5"/>
        <v>168909</v>
      </c>
      <c r="K139" s="199">
        <v>1.3</v>
      </c>
      <c r="L139" s="199">
        <v>0.9</v>
      </c>
    </row>
    <row r="140" spans="1:12" ht="15" customHeight="1" x14ac:dyDescent="0.25">
      <c r="A140" s="49">
        <v>2010</v>
      </c>
      <c r="B140" s="330" t="s">
        <v>5</v>
      </c>
      <c r="C140" s="331">
        <v>79279192663</v>
      </c>
      <c r="D140" s="331">
        <v>16099014132</v>
      </c>
      <c r="E140" s="331">
        <v>322043571</v>
      </c>
      <c r="F140" s="331">
        <v>697566</v>
      </c>
      <c r="G140" s="332">
        <f t="shared" si="4"/>
        <v>8.798853476790734E-6</v>
      </c>
      <c r="H140" s="331">
        <v>10974</v>
      </c>
      <c r="I140" s="331">
        <v>236446</v>
      </c>
      <c r="J140" s="331">
        <f t="shared" si="5"/>
        <v>-225472</v>
      </c>
      <c r="K140" s="199">
        <v>2</v>
      </c>
      <c r="L140" s="199">
        <v>0.95</v>
      </c>
    </row>
    <row r="141" spans="1:12" x14ac:dyDescent="0.25">
      <c r="A141" s="49">
        <v>2011</v>
      </c>
      <c r="B141" s="330" t="s">
        <v>5</v>
      </c>
      <c r="C141" s="331">
        <v>83013777778</v>
      </c>
      <c r="D141" s="331">
        <v>16552570252</v>
      </c>
      <c r="E141" s="331">
        <v>366996084</v>
      </c>
      <c r="F141" s="331">
        <v>535484</v>
      </c>
      <c r="G141" s="332">
        <f t="shared" si="4"/>
        <v>6.4505436848329044E-6</v>
      </c>
      <c r="H141" s="331">
        <v>10942</v>
      </c>
      <c r="I141" s="331">
        <v>361957</v>
      </c>
      <c r="J141" s="331">
        <f t="shared" si="5"/>
        <v>-351015</v>
      </c>
      <c r="K141" s="199">
        <v>2.2000000000000002</v>
      </c>
      <c r="L141" s="199">
        <v>0.95</v>
      </c>
    </row>
    <row r="142" spans="1:12" ht="15" customHeight="1" x14ac:dyDescent="0.25">
      <c r="A142" s="49">
        <v>2012</v>
      </c>
      <c r="B142" s="330" t="s">
        <v>5</v>
      </c>
      <c r="C142" s="331">
        <v>87438080471</v>
      </c>
      <c r="D142" s="331">
        <v>17090159096</v>
      </c>
      <c r="E142" s="331">
        <v>401973750</v>
      </c>
      <c r="F142" s="331">
        <v>424509</v>
      </c>
      <c r="G142" s="332">
        <f t="shared" si="4"/>
        <v>4.8549670545523242E-6</v>
      </c>
      <c r="H142" s="331">
        <v>6655</v>
      </c>
      <c r="I142" s="331">
        <v>312940</v>
      </c>
      <c r="J142" s="331">
        <f t="shared" si="5"/>
        <v>-306285</v>
      </c>
      <c r="K142" s="199">
        <v>2.35</v>
      </c>
      <c r="L142" s="199">
        <v>0.95</v>
      </c>
    </row>
    <row r="143" spans="1:12" ht="15" customHeight="1" x14ac:dyDescent="0.25">
      <c r="A143" s="49">
        <v>2013</v>
      </c>
      <c r="B143" s="330" t="s">
        <v>5</v>
      </c>
      <c r="C143" s="331">
        <v>90583738771</v>
      </c>
      <c r="D143" s="331">
        <v>17761443708</v>
      </c>
      <c r="E143" s="331">
        <v>417538731</v>
      </c>
      <c r="F143" s="331">
        <v>332172</v>
      </c>
      <c r="G143" s="332">
        <f t="shared" si="4"/>
        <v>3.6670157856891581E-6</v>
      </c>
      <c r="H143" s="331">
        <v>25745</v>
      </c>
      <c r="I143" s="331">
        <v>0</v>
      </c>
      <c r="J143" s="331">
        <f t="shared" si="5"/>
        <v>25745</v>
      </c>
      <c r="K143" s="199">
        <v>2.35</v>
      </c>
      <c r="L143" s="199">
        <v>0.95</v>
      </c>
    </row>
    <row r="144" spans="1:12" ht="15" customHeight="1" x14ac:dyDescent="0.25">
      <c r="A144" s="49">
        <v>2014</v>
      </c>
      <c r="B144" s="330" t="s">
        <v>5</v>
      </c>
      <c r="C144" s="331">
        <v>94736996780</v>
      </c>
      <c r="D144" s="331">
        <v>18309835415</v>
      </c>
      <c r="E144" s="331">
        <v>426344333</v>
      </c>
      <c r="F144" s="331">
        <v>322329</v>
      </c>
      <c r="G144" s="332">
        <f t="shared" si="4"/>
        <v>3.402356111715451E-6</v>
      </c>
      <c r="H144" s="331">
        <v>2208</v>
      </c>
      <c r="I144" s="331">
        <v>68073</v>
      </c>
      <c r="J144" s="331">
        <f t="shared" si="5"/>
        <v>-65865</v>
      </c>
      <c r="K144" s="333">
        <v>2.3284989915896519</v>
      </c>
      <c r="L144" s="199">
        <v>0.95</v>
      </c>
    </row>
    <row r="145" spans="1:12" ht="15" customHeight="1" x14ac:dyDescent="0.25">
      <c r="A145" s="49">
        <v>2015</v>
      </c>
      <c r="B145" s="330" t="s">
        <v>5</v>
      </c>
      <c r="C145" s="334">
        <v>99800469000</v>
      </c>
      <c r="D145" s="334">
        <v>19087571000</v>
      </c>
      <c r="E145" s="334">
        <v>446806000</v>
      </c>
      <c r="F145" s="331">
        <v>274771</v>
      </c>
      <c r="G145" s="332">
        <f t="shared" si="4"/>
        <v>2.7532034944645399E-6</v>
      </c>
      <c r="H145" s="331">
        <v>102435</v>
      </c>
      <c r="I145" s="199">
        <v>0</v>
      </c>
      <c r="J145" s="331">
        <f t="shared" si="5"/>
        <v>102435</v>
      </c>
      <c r="K145" s="199">
        <v>2.2999999999999998</v>
      </c>
      <c r="L145" s="199">
        <v>0.95</v>
      </c>
    </row>
    <row r="146" spans="1:12" ht="15" customHeight="1" x14ac:dyDescent="0.25">
      <c r="A146" s="49">
        <v>1980</v>
      </c>
      <c r="B146" s="330" t="s">
        <v>6</v>
      </c>
      <c r="C146" s="331">
        <v>122745668953</v>
      </c>
      <c r="D146" s="331">
        <v>51569306484</v>
      </c>
      <c r="E146" s="331">
        <v>1363016775</v>
      </c>
      <c r="F146" s="331">
        <v>1357892</v>
      </c>
      <c r="G146" s="332">
        <f t="shared" si="4"/>
        <v>1.1062646947811612E-5</v>
      </c>
      <c r="H146" s="331">
        <v>3087861</v>
      </c>
      <c r="I146" s="331">
        <v>0</v>
      </c>
      <c r="J146" s="331">
        <f t="shared" si="5"/>
        <v>3087861</v>
      </c>
      <c r="K146" s="199">
        <v>2.64</v>
      </c>
      <c r="L146" s="199">
        <v>2.11</v>
      </c>
    </row>
    <row r="147" spans="1:12" ht="15" customHeight="1" x14ac:dyDescent="0.25">
      <c r="A147" s="49">
        <v>1981</v>
      </c>
      <c r="B147" s="330" t="s">
        <v>6</v>
      </c>
      <c r="C147" s="331">
        <v>136807562958</v>
      </c>
      <c r="D147" s="331">
        <v>53691597450</v>
      </c>
      <c r="E147" s="331">
        <v>1371942062</v>
      </c>
      <c r="F147" s="331">
        <v>1401410</v>
      </c>
      <c r="G147" s="332">
        <f t="shared" si="4"/>
        <v>1.0243658827766954E-5</v>
      </c>
      <c r="H147" s="331">
        <v>3352970</v>
      </c>
      <c r="I147" s="331">
        <v>0</v>
      </c>
      <c r="J147" s="331">
        <f t="shared" si="5"/>
        <v>3352970</v>
      </c>
      <c r="K147" s="199">
        <v>2.56</v>
      </c>
      <c r="L147" s="199">
        <v>2.0299999999999998</v>
      </c>
    </row>
    <row r="148" spans="1:12" ht="15" customHeight="1" x14ac:dyDescent="0.25">
      <c r="A148" s="49">
        <v>1982</v>
      </c>
      <c r="B148" s="330" t="s">
        <v>6</v>
      </c>
      <c r="C148" s="331">
        <v>144034611205</v>
      </c>
      <c r="D148" s="331">
        <v>52285601014</v>
      </c>
      <c r="E148" s="331">
        <v>1455620961</v>
      </c>
      <c r="F148" s="331">
        <v>2233015</v>
      </c>
      <c r="G148" s="332">
        <f t="shared" si="4"/>
        <v>1.5503322300928205E-5</v>
      </c>
      <c r="H148" s="331">
        <v>2707650</v>
      </c>
      <c r="I148" s="331">
        <v>0</v>
      </c>
      <c r="J148" s="331">
        <f t="shared" si="5"/>
        <v>2707650</v>
      </c>
      <c r="K148" s="199">
        <v>2.78</v>
      </c>
      <c r="L148" s="199">
        <v>2.0299999999999998</v>
      </c>
    </row>
    <row r="149" spans="1:12" ht="15" customHeight="1" x14ac:dyDescent="0.25">
      <c r="A149" s="49">
        <v>1983</v>
      </c>
      <c r="B149" s="330" t="s">
        <v>6</v>
      </c>
      <c r="C149" s="331">
        <v>155097941740</v>
      </c>
      <c r="D149" s="331">
        <v>60271671604</v>
      </c>
      <c r="E149" s="331">
        <v>1611020146</v>
      </c>
      <c r="F149" s="331">
        <v>2155947</v>
      </c>
      <c r="G149" s="332">
        <f t="shared" si="4"/>
        <v>1.3900551972598988E-5</v>
      </c>
      <c r="H149" s="331">
        <v>2169348</v>
      </c>
      <c r="I149" s="331">
        <v>0</v>
      </c>
      <c r="J149" s="331">
        <f t="shared" si="5"/>
        <v>2169348</v>
      </c>
      <c r="K149" s="199">
        <v>2.67</v>
      </c>
      <c r="L149" s="199">
        <v>2.02</v>
      </c>
    </row>
    <row r="150" spans="1:12" ht="15" customHeight="1" x14ac:dyDescent="0.25">
      <c r="A150" s="49">
        <v>1984</v>
      </c>
      <c r="B150" s="330" t="s">
        <v>6</v>
      </c>
      <c r="C150" s="331">
        <v>173699230947</v>
      </c>
      <c r="D150" s="331">
        <v>65608576164</v>
      </c>
      <c r="E150" s="331">
        <v>2146666828</v>
      </c>
      <c r="F150" s="331">
        <v>1614327</v>
      </c>
      <c r="G150" s="332">
        <f t="shared" si="4"/>
        <v>9.2938062603890957E-6</v>
      </c>
      <c r="H150" s="331">
        <v>2810732</v>
      </c>
      <c r="I150" s="331">
        <v>0</v>
      </c>
      <c r="J150" s="331">
        <f t="shared" si="5"/>
        <v>2810732</v>
      </c>
      <c r="K150" s="199">
        <v>3.27</v>
      </c>
      <c r="L150" s="199">
        <v>2.0099999999999998</v>
      </c>
    </row>
    <row r="151" spans="1:12" ht="15" customHeight="1" x14ac:dyDescent="0.25">
      <c r="A151" s="49">
        <v>1985</v>
      </c>
      <c r="B151" s="330" t="s">
        <v>6</v>
      </c>
      <c r="C151" s="331">
        <v>189504460109</v>
      </c>
      <c r="D151" s="331">
        <v>68875395995</v>
      </c>
      <c r="E151" s="331">
        <v>2174777232</v>
      </c>
      <c r="F151" s="331">
        <v>1888219</v>
      </c>
      <c r="G151" s="332">
        <f t="shared" si="4"/>
        <v>9.9639818446168818E-6</v>
      </c>
      <c r="H151" s="331">
        <v>3504521</v>
      </c>
      <c r="I151" s="331">
        <v>0</v>
      </c>
      <c r="J151" s="331">
        <f t="shared" si="5"/>
        <v>3504521</v>
      </c>
      <c r="K151" s="199">
        <v>3.16</v>
      </c>
      <c r="L151" s="199">
        <v>1.98</v>
      </c>
    </row>
    <row r="152" spans="1:12" ht="15" customHeight="1" x14ac:dyDescent="0.25">
      <c r="A152" s="49">
        <v>1986</v>
      </c>
      <c r="B152" s="330" t="s">
        <v>6</v>
      </c>
      <c r="C152" s="331">
        <v>204630994198</v>
      </c>
      <c r="D152" s="331">
        <v>72207025151</v>
      </c>
      <c r="E152" s="331">
        <v>1690634350</v>
      </c>
      <c r="F152" s="331">
        <v>2073720</v>
      </c>
      <c r="G152" s="332">
        <f t="shared" si="4"/>
        <v>1.0133948711569461E-5</v>
      </c>
      <c r="H152" s="331">
        <v>3533594</v>
      </c>
      <c r="I152" s="331">
        <v>0</v>
      </c>
      <c r="J152" s="331">
        <f t="shared" si="5"/>
        <v>3533594</v>
      </c>
      <c r="K152" s="199">
        <v>2.34</v>
      </c>
      <c r="L152" s="199">
        <v>1.98</v>
      </c>
    </row>
    <row r="153" spans="1:12" ht="15" customHeight="1" x14ac:dyDescent="0.25">
      <c r="A153" s="49">
        <v>1987</v>
      </c>
      <c r="B153" s="330" t="s">
        <v>6</v>
      </c>
      <c r="C153" s="331">
        <v>224457123235</v>
      </c>
      <c r="D153" s="331">
        <v>75315928722</v>
      </c>
      <c r="E153" s="331">
        <v>1990634339</v>
      </c>
      <c r="F153" s="331">
        <v>1755069</v>
      </c>
      <c r="G153" s="332">
        <f t="shared" si="4"/>
        <v>7.8191726540239691E-6</v>
      </c>
      <c r="H153" s="331">
        <v>4017087</v>
      </c>
      <c r="I153" s="331">
        <v>0</v>
      </c>
      <c r="J153" s="331">
        <f t="shared" si="5"/>
        <v>4017087</v>
      </c>
      <c r="K153" s="199">
        <v>2.64</v>
      </c>
      <c r="L153" s="199">
        <v>1.98</v>
      </c>
    </row>
    <row r="154" spans="1:12" ht="15" customHeight="1" x14ac:dyDescent="0.25">
      <c r="A154" s="49">
        <v>1988</v>
      </c>
      <c r="B154" s="330" t="s">
        <v>6</v>
      </c>
      <c r="C154" s="331">
        <v>244002823492</v>
      </c>
      <c r="D154" s="331">
        <v>79496796804</v>
      </c>
      <c r="E154" s="331">
        <v>1878936119</v>
      </c>
      <c r="F154" s="331">
        <v>1611228</v>
      </c>
      <c r="G154" s="332">
        <f t="shared" si="4"/>
        <v>6.6033170310950375E-6</v>
      </c>
      <c r="H154" s="331">
        <v>4706123</v>
      </c>
      <c r="I154" s="331">
        <v>0</v>
      </c>
      <c r="J154" s="331">
        <f t="shared" si="5"/>
        <v>4706123</v>
      </c>
      <c r="K154" s="199">
        <v>2.36</v>
      </c>
      <c r="L154" s="199">
        <v>1.98</v>
      </c>
    </row>
    <row r="155" spans="1:12" ht="15" customHeight="1" x14ac:dyDescent="0.25">
      <c r="A155" s="49">
        <v>1989</v>
      </c>
      <c r="B155" s="330" t="s">
        <v>6</v>
      </c>
      <c r="C155" s="331">
        <v>260318179594</v>
      </c>
      <c r="D155" s="331">
        <v>82914879993</v>
      </c>
      <c r="E155" s="331">
        <v>1883982306</v>
      </c>
      <c r="F155" s="331">
        <v>1597637</v>
      </c>
      <c r="G155" s="332">
        <f t="shared" si="4"/>
        <v>6.1372471276947405E-6</v>
      </c>
      <c r="H155" s="331">
        <v>5419473</v>
      </c>
      <c r="I155" s="331">
        <v>0</v>
      </c>
      <c r="J155" s="331">
        <f t="shared" si="5"/>
        <v>5419473</v>
      </c>
      <c r="K155" s="199">
        <v>2.27</v>
      </c>
      <c r="L155" s="199">
        <v>1.98</v>
      </c>
    </row>
    <row r="156" spans="1:12" ht="15" customHeight="1" x14ac:dyDescent="0.25">
      <c r="A156" s="49">
        <v>1990</v>
      </c>
      <c r="B156" s="330" t="s">
        <v>6</v>
      </c>
      <c r="C156" s="331">
        <v>277388017454</v>
      </c>
      <c r="D156" s="331">
        <v>84283754897</v>
      </c>
      <c r="E156" s="331">
        <v>1695631753</v>
      </c>
      <c r="F156" s="331">
        <v>2175097</v>
      </c>
      <c r="G156" s="332">
        <f t="shared" si="4"/>
        <v>7.8413516919875678E-6</v>
      </c>
      <c r="H156" s="331">
        <v>5525268</v>
      </c>
      <c r="I156" s="331">
        <v>0</v>
      </c>
      <c r="J156" s="331">
        <f t="shared" si="5"/>
        <v>5525268</v>
      </c>
      <c r="K156" s="199">
        <v>2.0099999999999998</v>
      </c>
      <c r="L156" s="199">
        <v>1.98</v>
      </c>
    </row>
    <row r="157" spans="1:12" ht="15" customHeight="1" x14ac:dyDescent="0.25">
      <c r="A157" s="49">
        <v>1991</v>
      </c>
      <c r="B157" s="330" t="s">
        <v>6</v>
      </c>
      <c r="C157" s="331">
        <v>276167267725</v>
      </c>
      <c r="D157" s="331">
        <v>81321882145</v>
      </c>
      <c r="E157" s="331">
        <v>1624444123</v>
      </c>
      <c r="F157" s="331">
        <v>3411053</v>
      </c>
      <c r="G157" s="332">
        <f t="shared" si="4"/>
        <v>1.2351402206711317E-5</v>
      </c>
      <c r="H157" s="331">
        <v>4190197</v>
      </c>
      <c r="I157" s="331">
        <v>0</v>
      </c>
      <c r="J157" s="331">
        <f t="shared" si="5"/>
        <v>4190197</v>
      </c>
      <c r="K157" s="199">
        <v>2</v>
      </c>
      <c r="L157" s="199">
        <v>1.89</v>
      </c>
    </row>
    <row r="158" spans="1:12" ht="15" customHeight="1" x14ac:dyDescent="0.25">
      <c r="A158" s="49">
        <v>1992</v>
      </c>
      <c r="B158" s="330" t="s">
        <v>6</v>
      </c>
      <c r="C158" s="331">
        <v>282862444910</v>
      </c>
      <c r="D158" s="331">
        <v>79211871765</v>
      </c>
      <c r="E158" s="331">
        <v>2068443478</v>
      </c>
      <c r="F158" s="331">
        <v>3744443</v>
      </c>
      <c r="G158" s="332">
        <f t="shared" si="4"/>
        <v>1.3237681662517594E-5</v>
      </c>
      <c r="H158" s="331">
        <v>2786713</v>
      </c>
      <c r="I158" s="331">
        <v>0</v>
      </c>
      <c r="J158" s="331">
        <f t="shared" si="5"/>
        <v>2786713</v>
      </c>
      <c r="K158" s="199">
        <v>2.61</v>
      </c>
      <c r="L158" s="199">
        <v>1.89</v>
      </c>
    </row>
    <row r="159" spans="1:12" ht="15" customHeight="1" x14ac:dyDescent="0.25">
      <c r="A159" s="49">
        <v>1993</v>
      </c>
      <c r="B159" s="330" t="s">
        <v>6</v>
      </c>
      <c r="C159" s="331">
        <v>282701273247</v>
      </c>
      <c r="D159" s="331">
        <v>78555115978</v>
      </c>
      <c r="E159" s="331">
        <v>2755380485</v>
      </c>
      <c r="F159" s="331">
        <v>3297785</v>
      </c>
      <c r="G159" s="332">
        <f t="shared" si="4"/>
        <v>1.1665264051070189E-5</v>
      </c>
      <c r="H159" s="331">
        <v>2450402</v>
      </c>
      <c r="I159" s="331">
        <v>0</v>
      </c>
      <c r="J159" s="331">
        <f t="shared" si="5"/>
        <v>2450402</v>
      </c>
      <c r="K159" s="199">
        <v>3.51</v>
      </c>
      <c r="L159" s="199">
        <v>1.89</v>
      </c>
    </row>
    <row r="160" spans="1:12" ht="15" customHeight="1" x14ac:dyDescent="0.25">
      <c r="A160" s="49">
        <v>1994</v>
      </c>
      <c r="B160" s="330" t="s">
        <v>6</v>
      </c>
      <c r="C160" s="331">
        <v>290366247890</v>
      </c>
      <c r="D160" s="331">
        <v>80324924257</v>
      </c>
      <c r="E160" s="331">
        <v>2853097956</v>
      </c>
      <c r="F160" s="331">
        <v>3261178</v>
      </c>
      <c r="G160" s="332">
        <f t="shared" si="4"/>
        <v>1.1231257157806573E-5</v>
      </c>
      <c r="H160" s="331">
        <v>2092695</v>
      </c>
      <c r="I160" s="331">
        <v>0</v>
      </c>
      <c r="J160" s="331">
        <f t="shared" si="5"/>
        <v>2092695</v>
      </c>
      <c r="K160" s="199">
        <v>3.55</v>
      </c>
      <c r="L160" s="199">
        <v>1.89</v>
      </c>
    </row>
    <row r="161" spans="1:12" ht="15" customHeight="1" x14ac:dyDescent="0.25">
      <c r="A161" s="49">
        <v>1995</v>
      </c>
      <c r="B161" s="330" t="s">
        <v>6</v>
      </c>
      <c r="C161" s="331">
        <v>307522726159</v>
      </c>
      <c r="D161" s="331">
        <v>82907020215</v>
      </c>
      <c r="E161" s="331">
        <v>2955670884</v>
      </c>
      <c r="F161" s="331">
        <v>2963739</v>
      </c>
      <c r="G161" s="332">
        <f t="shared" si="4"/>
        <v>9.6374633413845432E-6</v>
      </c>
      <c r="H161" s="331">
        <v>2104220</v>
      </c>
      <c r="I161" s="331">
        <v>0</v>
      </c>
      <c r="J161" s="331">
        <f t="shared" si="5"/>
        <v>2104220</v>
      </c>
      <c r="K161" s="199">
        <v>3.57</v>
      </c>
      <c r="L161" s="199">
        <v>1.63</v>
      </c>
    </row>
    <row r="162" spans="1:12" ht="15" customHeight="1" x14ac:dyDescent="0.25">
      <c r="A162" s="49">
        <v>1996</v>
      </c>
      <c r="B162" s="330" t="s">
        <v>6</v>
      </c>
      <c r="C162" s="331">
        <v>330646975416</v>
      </c>
      <c r="D162" s="331">
        <v>82639305225</v>
      </c>
      <c r="E162" s="331">
        <v>3110149794</v>
      </c>
      <c r="F162" s="331">
        <v>2806175</v>
      </c>
      <c r="G162" s="332">
        <f t="shared" si="4"/>
        <v>8.4869217281344877E-6</v>
      </c>
      <c r="H162" s="331">
        <v>2877452</v>
      </c>
      <c r="I162" s="331">
        <v>0</v>
      </c>
      <c r="J162" s="331">
        <f t="shared" si="5"/>
        <v>2877452</v>
      </c>
      <c r="K162" s="199">
        <v>3.76</v>
      </c>
      <c r="L162" s="199">
        <v>1.52</v>
      </c>
    </row>
    <row r="163" spans="1:12" ht="15" customHeight="1" x14ac:dyDescent="0.25">
      <c r="A163" s="49">
        <v>1997</v>
      </c>
      <c r="B163" s="330" t="s">
        <v>6</v>
      </c>
      <c r="C163" s="331">
        <v>369778533656</v>
      </c>
      <c r="D163" s="331">
        <v>73868417732</v>
      </c>
      <c r="E163" s="331">
        <v>2500495369</v>
      </c>
      <c r="F163" s="331">
        <v>2447456</v>
      </c>
      <c r="G163" s="332">
        <f t="shared" si="4"/>
        <v>6.6187076242690587E-6</v>
      </c>
      <c r="H163" s="331">
        <v>3737815</v>
      </c>
      <c r="I163" s="331">
        <v>0</v>
      </c>
      <c r="J163" s="331">
        <f t="shared" si="5"/>
        <v>3737815</v>
      </c>
      <c r="K163" s="199">
        <v>3.29</v>
      </c>
      <c r="L163" s="199">
        <v>1.49</v>
      </c>
    </row>
    <row r="164" spans="1:12" ht="15" customHeight="1" x14ac:dyDescent="0.25">
      <c r="A164" s="49">
        <v>1998</v>
      </c>
      <c r="B164" s="330" t="s">
        <v>6</v>
      </c>
      <c r="C164" s="331">
        <v>396608107268</v>
      </c>
      <c r="D164" s="331">
        <v>87992643199</v>
      </c>
      <c r="E164" s="331">
        <v>2639357158</v>
      </c>
      <c r="F164" s="331">
        <v>2438278</v>
      </c>
      <c r="G164" s="332">
        <f t="shared" si="4"/>
        <v>6.147826923649804E-6</v>
      </c>
      <c r="H164" s="331">
        <v>4467207</v>
      </c>
      <c r="I164" s="331">
        <v>0</v>
      </c>
      <c r="J164" s="331">
        <f t="shared" si="5"/>
        <v>4467207</v>
      </c>
      <c r="K164" s="199">
        <v>3</v>
      </c>
      <c r="L164" s="199">
        <v>1.49</v>
      </c>
    </row>
    <row r="165" spans="1:12" ht="15" customHeight="1" x14ac:dyDescent="0.25">
      <c r="A165" s="49">
        <v>1999</v>
      </c>
      <c r="B165" s="330" t="s">
        <v>6</v>
      </c>
      <c r="C165" s="331">
        <v>437776196830</v>
      </c>
      <c r="D165" s="331">
        <v>93371355546</v>
      </c>
      <c r="E165" s="331">
        <v>2486387648</v>
      </c>
      <c r="F165" s="331">
        <v>2491974</v>
      </c>
      <c r="G165" s="332">
        <f t="shared" si="4"/>
        <v>5.6923469527231948E-6</v>
      </c>
      <c r="H165" s="331">
        <v>4929637</v>
      </c>
      <c r="I165" s="331">
        <v>0</v>
      </c>
      <c r="J165" s="331">
        <f t="shared" si="5"/>
        <v>4929637</v>
      </c>
      <c r="K165" s="199">
        <v>2.66</v>
      </c>
      <c r="L165" s="199">
        <v>1.49</v>
      </c>
    </row>
    <row r="166" spans="1:12" ht="15" customHeight="1" x14ac:dyDescent="0.25">
      <c r="A166" s="49">
        <v>2000</v>
      </c>
      <c r="B166" s="330" t="s">
        <v>6</v>
      </c>
      <c r="C166" s="331">
        <v>500655685862</v>
      </c>
      <c r="D166" s="331">
        <v>100292096217</v>
      </c>
      <c r="E166" s="331">
        <v>2667423624</v>
      </c>
      <c r="F166" s="331">
        <v>2267962</v>
      </c>
      <c r="G166" s="332">
        <f t="shared" si="4"/>
        <v>4.5299835077177929E-6</v>
      </c>
      <c r="H166" s="331">
        <v>5803711</v>
      </c>
      <c r="I166" s="331">
        <v>0</v>
      </c>
      <c r="J166" s="331">
        <f t="shared" si="5"/>
        <v>5803711</v>
      </c>
      <c r="K166" s="199">
        <v>2.66</v>
      </c>
      <c r="L166" s="199">
        <v>1.49</v>
      </c>
    </row>
    <row r="167" spans="1:12" ht="15" customHeight="1" x14ac:dyDescent="0.25">
      <c r="A167" s="49">
        <v>2001</v>
      </c>
      <c r="B167" s="330" t="s">
        <v>6</v>
      </c>
      <c r="C167" s="331">
        <v>498116833469</v>
      </c>
      <c r="D167" s="331">
        <v>101892727307</v>
      </c>
      <c r="E167" s="331">
        <v>2620508436</v>
      </c>
      <c r="F167" s="331">
        <v>3217031</v>
      </c>
      <c r="G167" s="332">
        <f t="shared" si="4"/>
        <v>6.4583864343548835E-6</v>
      </c>
      <c r="H167" s="331">
        <v>5689438</v>
      </c>
      <c r="I167" s="331">
        <v>0</v>
      </c>
      <c r="J167" s="331">
        <f t="shared" si="5"/>
        <v>5689438</v>
      </c>
      <c r="K167" s="199">
        <v>2.57</v>
      </c>
      <c r="L167" s="199">
        <v>1.49</v>
      </c>
    </row>
    <row r="168" spans="1:12" ht="15" customHeight="1" x14ac:dyDescent="0.25">
      <c r="A168" s="49">
        <v>2002</v>
      </c>
      <c r="B168" s="330" t="s">
        <v>6</v>
      </c>
      <c r="C168" s="331">
        <v>486170062288</v>
      </c>
      <c r="D168" s="331">
        <v>99767031481</v>
      </c>
      <c r="E168" s="331">
        <v>2494191684</v>
      </c>
      <c r="F168" s="331">
        <v>5820096</v>
      </c>
      <c r="G168" s="332">
        <f t="shared" si="4"/>
        <v>1.1971317140775033E-5</v>
      </c>
      <c r="H168" s="331">
        <v>3702684</v>
      </c>
      <c r="I168" s="331">
        <v>0</v>
      </c>
      <c r="J168" s="331">
        <f t="shared" si="5"/>
        <v>3702684</v>
      </c>
      <c r="K168" s="199">
        <v>2.5</v>
      </c>
      <c r="L168" s="199">
        <v>1.49</v>
      </c>
    </row>
    <row r="169" spans="1:12" ht="15" customHeight="1" x14ac:dyDescent="0.25">
      <c r="A169" s="49">
        <v>2003</v>
      </c>
      <c r="B169" s="330" t="s">
        <v>6</v>
      </c>
      <c r="C169" s="331">
        <v>496318275479</v>
      </c>
      <c r="D169" s="331">
        <v>99361360075</v>
      </c>
      <c r="E169" s="331">
        <v>2989234217</v>
      </c>
      <c r="F169" s="331">
        <v>5761405</v>
      </c>
      <c r="G169" s="332">
        <f t="shared" si="4"/>
        <v>1.1608287030010391E-5</v>
      </c>
      <c r="H169" s="331">
        <v>961713</v>
      </c>
      <c r="I169" s="331">
        <v>0</v>
      </c>
      <c r="J169" s="331">
        <f t="shared" si="5"/>
        <v>961713</v>
      </c>
      <c r="K169" s="199">
        <v>3.01</v>
      </c>
      <c r="L169" s="199">
        <v>1.49</v>
      </c>
    </row>
    <row r="170" spans="1:12" ht="15" customHeight="1" x14ac:dyDescent="0.25">
      <c r="A170" s="49">
        <v>2004</v>
      </c>
      <c r="B170" s="330" t="s">
        <v>6</v>
      </c>
      <c r="C170" s="331">
        <v>529067672732</v>
      </c>
      <c r="D170" s="331">
        <v>100381200693</v>
      </c>
      <c r="E170" s="331">
        <v>4518760602</v>
      </c>
      <c r="F170" s="331">
        <v>4699124</v>
      </c>
      <c r="G170" s="332">
        <f t="shared" si="4"/>
        <v>8.8818959127377047E-6</v>
      </c>
      <c r="H170" s="331">
        <v>693970</v>
      </c>
      <c r="I170" s="331">
        <v>0</v>
      </c>
      <c r="J170" s="331">
        <f t="shared" si="5"/>
        <v>693970</v>
      </c>
      <c r="K170" s="199">
        <v>4.5</v>
      </c>
      <c r="L170" s="199">
        <v>1.49</v>
      </c>
    </row>
    <row r="171" spans="1:12" ht="15" customHeight="1" x14ac:dyDescent="0.25">
      <c r="A171" s="49">
        <v>2005</v>
      </c>
      <c r="B171" s="330" t="s">
        <v>6</v>
      </c>
      <c r="C171" s="331">
        <v>559913719412</v>
      </c>
      <c r="D171" s="331">
        <v>105448160355</v>
      </c>
      <c r="E171" s="331">
        <v>4831128331</v>
      </c>
      <c r="F171" s="331">
        <v>4199894</v>
      </c>
      <c r="G171" s="332">
        <f t="shared" si="4"/>
        <v>7.500966406771687E-6</v>
      </c>
      <c r="H171" s="331">
        <v>1457070</v>
      </c>
      <c r="I171" s="331">
        <v>0</v>
      </c>
      <c r="J171" s="331">
        <f t="shared" si="5"/>
        <v>1457070</v>
      </c>
      <c r="K171" s="199">
        <v>4.58</v>
      </c>
      <c r="L171" s="199">
        <v>1.49</v>
      </c>
    </row>
    <row r="172" spans="1:12" ht="15" customHeight="1" x14ac:dyDescent="0.25">
      <c r="A172" s="49">
        <v>2006</v>
      </c>
      <c r="B172" s="330" t="s">
        <v>6</v>
      </c>
      <c r="C172" s="331">
        <v>596589166766</v>
      </c>
      <c r="D172" s="331">
        <v>109095091579</v>
      </c>
      <c r="E172" s="331">
        <v>4817367852</v>
      </c>
      <c r="F172" s="331">
        <v>4063636</v>
      </c>
      <c r="G172" s="332">
        <f t="shared" si="4"/>
        <v>6.8114478545231088E-6</v>
      </c>
      <c r="H172" s="331">
        <v>2400802</v>
      </c>
      <c r="I172" s="331">
        <v>0</v>
      </c>
      <c r="J172" s="331">
        <f t="shared" si="5"/>
        <v>2400802</v>
      </c>
      <c r="K172" s="199">
        <v>4.41</v>
      </c>
      <c r="L172" s="199">
        <v>1.49</v>
      </c>
    </row>
    <row r="173" spans="1:12" ht="15" customHeight="1" x14ac:dyDescent="0.25">
      <c r="A173" s="49">
        <v>2007</v>
      </c>
      <c r="B173" s="330" t="s">
        <v>6</v>
      </c>
      <c r="C173" s="331">
        <v>626712142211</v>
      </c>
      <c r="D173" s="331">
        <v>110154818173</v>
      </c>
      <c r="E173" s="331">
        <v>4598608858</v>
      </c>
      <c r="F173" s="331">
        <v>4858991</v>
      </c>
      <c r="G173" s="332">
        <f t="shared" si="4"/>
        <v>7.7531464172016731E-6</v>
      </c>
      <c r="H173" s="331">
        <v>2533133</v>
      </c>
      <c r="I173" s="331">
        <v>0</v>
      </c>
      <c r="J173" s="331">
        <f t="shared" si="5"/>
        <v>2533133</v>
      </c>
      <c r="K173" s="199">
        <v>4.17</v>
      </c>
      <c r="L173" s="199">
        <v>1.49</v>
      </c>
    </row>
    <row r="174" spans="1:12" ht="15" customHeight="1" x14ac:dyDescent="0.25">
      <c r="A174" s="49">
        <v>2008</v>
      </c>
      <c r="B174" s="330" t="s">
        <v>6</v>
      </c>
      <c r="C174" s="331">
        <v>625193443696</v>
      </c>
      <c r="D174" s="331">
        <v>106012795400</v>
      </c>
      <c r="E174" s="331">
        <v>4290725277</v>
      </c>
      <c r="F174" s="331">
        <v>6654997</v>
      </c>
      <c r="G174" s="332">
        <f t="shared" si="4"/>
        <v>1.0644700559649484E-5</v>
      </c>
      <c r="H174" s="331">
        <v>639200</v>
      </c>
      <c r="I174" s="331">
        <v>0</v>
      </c>
      <c r="J174" s="331">
        <f t="shared" si="5"/>
        <v>639200</v>
      </c>
      <c r="K174" s="199">
        <v>4</v>
      </c>
      <c r="L174" s="199">
        <v>1.49</v>
      </c>
    </row>
    <row r="175" spans="1:12" ht="15" customHeight="1" x14ac:dyDescent="0.25">
      <c r="A175" s="49">
        <v>2009</v>
      </c>
      <c r="B175" s="330" t="s">
        <v>6</v>
      </c>
      <c r="C175" s="331">
        <v>579550506568</v>
      </c>
      <c r="D175" s="331">
        <v>96482034728</v>
      </c>
      <c r="E175" s="331">
        <v>4017475662</v>
      </c>
      <c r="F175" s="331">
        <v>10645766</v>
      </c>
      <c r="G175" s="332">
        <f t="shared" si="4"/>
        <v>1.8369004736174635E-5</v>
      </c>
      <c r="H175" s="331">
        <v>110875</v>
      </c>
      <c r="I175" s="331">
        <v>5984689</v>
      </c>
      <c r="J175" s="331">
        <f t="shared" si="5"/>
        <v>-5873814</v>
      </c>
      <c r="K175" s="199">
        <v>4.2</v>
      </c>
      <c r="L175" s="199">
        <v>1.47</v>
      </c>
    </row>
    <row r="176" spans="1:12" x14ac:dyDescent="0.25">
      <c r="A176" s="49">
        <v>2010</v>
      </c>
      <c r="B176" s="330" t="s">
        <v>6</v>
      </c>
      <c r="C176" s="331">
        <v>593382798468</v>
      </c>
      <c r="D176" s="331">
        <v>96582724916</v>
      </c>
      <c r="E176" s="331">
        <v>4658051351</v>
      </c>
      <c r="F176" s="331">
        <v>7971426</v>
      </c>
      <c r="G176" s="332">
        <f t="shared" si="4"/>
        <v>1.343386768302129E-5</v>
      </c>
      <c r="H176" s="331">
        <v>91093</v>
      </c>
      <c r="I176" s="331">
        <v>9454435</v>
      </c>
      <c r="J176" s="331">
        <f t="shared" si="5"/>
        <v>-9363342</v>
      </c>
      <c r="K176" s="199">
        <v>4.8</v>
      </c>
      <c r="L176" s="199">
        <v>1.54</v>
      </c>
    </row>
    <row r="177" spans="1:12" ht="15" customHeight="1" x14ac:dyDescent="0.25">
      <c r="A177" s="49">
        <v>2011</v>
      </c>
      <c r="B177" s="330" t="s">
        <v>6</v>
      </c>
      <c r="C177" s="331">
        <v>625320805757</v>
      </c>
      <c r="D177" s="331">
        <v>102007715205</v>
      </c>
      <c r="E177" s="331">
        <v>5415526529</v>
      </c>
      <c r="F177" s="331">
        <v>6429091</v>
      </c>
      <c r="G177" s="332">
        <f t="shared" si="4"/>
        <v>1.0281268335885738E-5</v>
      </c>
      <c r="H177" s="331">
        <v>92379</v>
      </c>
      <c r="I177" s="331">
        <v>9803253</v>
      </c>
      <c r="J177" s="331">
        <f t="shared" si="5"/>
        <v>-9710874</v>
      </c>
      <c r="K177" s="199">
        <v>5.3</v>
      </c>
      <c r="L177" s="199">
        <v>1.54</v>
      </c>
    </row>
    <row r="178" spans="1:12" ht="15" customHeight="1" x14ac:dyDescent="0.25">
      <c r="A178" s="49">
        <v>2012</v>
      </c>
      <c r="B178" s="330" t="s">
        <v>6</v>
      </c>
      <c r="C178" s="331">
        <v>671329075779</v>
      </c>
      <c r="D178" s="331">
        <v>105561193709</v>
      </c>
      <c r="E178" s="331">
        <v>5578118186</v>
      </c>
      <c r="F178" s="331">
        <v>5981644</v>
      </c>
      <c r="G178" s="332">
        <f t="shared" si="4"/>
        <v>8.9101518403012587E-6</v>
      </c>
      <c r="H178" s="331">
        <v>54679</v>
      </c>
      <c r="I178" s="331">
        <v>10254759</v>
      </c>
      <c r="J178" s="331">
        <f t="shared" si="5"/>
        <v>-10200080</v>
      </c>
      <c r="K178" s="199">
        <v>5.28</v>
      </c>
      <c r="L178" s="199">
        <v>1.54</v>
      </c>
    </row>
    <row r="179" spans="1:12" ht="15" customHeight="1" x14ac:dyDescent="0.25">
      <c r="A179" s="49">
        <v>2013</v>
      </c>
      <c r="B179" s="330" t="s">
        <v>6</v>
      </c>
      <c r="C179" s="331">
        <v>697538286811</v>
      </c>
      <c r="D179" s="331">
        <v>109207874363</v>
      </c>
      <c r="E179" s="331">
        <v>5618078033</v>
      </c>
      <c r="F179" s="331">
        <v>5725096</v>
      </c>
      <c r="G179" s="332">
        <f t="shared" si="4"/>
        <v>8.2075724132275924E-6</v>
      </c>
      <c r="H179" s="331">
        <v>31927</v>
      </c>
      <c r="I179" s="331">
        <v>9748437</v>
      </c>
      <c r="J179" s="331">
        <f t="shared" si="5"/>
        <v>-9716510</v>
      </c>
      <c r="K179" s="199">
        <v>5.14</v>
      </c>
      <c r="L179" s="199">
        <v>1.54</v>
      </c>
    </row>
    <row r="180" spans="1:12" ht="15" customHeight="1" x14ac:dyDescent="0.25">
      <c r="A180" s="49">
        <v>2014</v>
      </c>
      <c r="B180" s="330" t="s">
        <v>6</v>
      </c>
      <c r="C180" s="331">
        <v>743205395989</v>
      </c>
      <c r="D180" s="331">
        <v>114659450561</v>
      </c>
      <c r="E180" s="331">
        <v>5757801058</v>
      </c>
      <c r="F180" s="331">
        <v>5595465</v>
      </c>
      <c r="G180" s="332">
        <f t="shared" si="4"/>
        <v>7.5288271993154595E-6</v>
      </c>
      <c r="H180" s="331">
        <v>5949</v>
      </c>
      <c r="I180" s="331">
        <v>8602224</v>
      </c>
      <c r="J180" s="331">
        <f t="shared" si="5"/>
        <v>-8596275</v>
      </c>
      <c r="K180" s="333">
        <v>5.0216541504677723</v>
      </c>
      <c r="L180" s="199">
        <v>1.54</v>
      </c>
    </row>
    <row r="181" spans="1:12" ht="15" customHeight="1" x14ac:dyDescent="0.25">
      <c r="A181" s="49">
        <v>2015</v>
      </c>
      <c r="B181" s="330" t="s">
        <v>6</v>
      </c>
      <c r="C181" s="334">
        <v>804247784000</v>
      </c>
      <c r="D181" s="334">
        <v>120058007000</v>
      </c>
      <c r="E181" s="334">
        <v>5873129000</v>
      </c>
      <c r="F181" s="331">
        <v>5002422</v>
      </c>
      <c r="G181" s="332">
        <f t="shared" si="4"/>
        <v>6.2200009742271167E-6</v>
      </c>
      <c r="H181" s="331">
        <v>11631</v>
      </c>
      <c r="I181" s="331">
        <v>6409126</v>
      </c>
      <c r="J181" s="331">
        <f t="shared" si="5"/>
        <v>-6397495</v>
      </c>
      <c r="K181" s="199">
        <v>4.9000000000000004</v>
      </c>
      <c r="L181" s="199">
        <v>1.5</v>
      </c>
    </row>
    <row r="182" spans="1:12" ht="15" customHeight="1" x14ac:dyDescent="0.25">
      <c r="A182" s="49">
        <v>1980</v>
      </c>
      <c r="B182" s="330" t="s">
        <v>7</v>
      </c>
      <c r="C182" s="331">
        <v>14219765574</v>
      </c>
      <c r="D182" s="331">
        <v>6333640539</v>
      </c>
      <c r="E182" s="331">
        <v>62773311</v>
      </c>
      <c r="F182" s="331">
        <v>86543</v>
      </c>
      <c r="G182" s="332">
        <f t="shared" si="4"/>
        <v>6.0861059593161476E-6</v>
      </c>
      <c r="H182" s="331">
        <v>129512</v>
      </c>
      <c r="I182" s="331">
        <v>0</v>
      </c>
      <c r="J182" s="331">
        <f t="shared" si="5"/>
        <v>129512</v>
      </c>
      <c r="K182" s="199">
        <v>0.99</v>
      </c>
      <c r="L182" s="199">
        <v>1.0900000000000001</v>
      </c>
    </row>
    <row r="183" spans="1:12" ht="15" customHeight="1" x14ac:dyDescent="0.25">
      <c r="A183" s="49">
        <v>1981</v>
      </c>
      <c r="B183" s="330" t="s">
        <v>7</v>
      </c>
      <c r="C183" s="331">
        <v>16629837997</v>
      </c>
      <c r="D183" s="331">
        <v>6924622837</v>
      </c>
      <c r="E183" s="331">
        <v>57454972</v>
      </c>
      <c r="F183" s="331">
        <v>106705</v>
      </c>
      <c r="G183" s="332">
        <f t="shared" si="4"/>
        <v>6.416478622296227E-6</v>
      </c>
      <c r="H183" s="331">
        <v>94318</v>
      </c>
      <c r="I183" s="331">
        <v>0</v>
      </c>
      <c r="J183" s="331">
        <f t="shared" si="5"/>
        <v>94318</v>
      </c>
      <c r="K183" s="199">
        <v>0.83</v>
      </c>
      <c r="L183" s="199">
        <v>1.0900000000000001</v>
      </c>
    </row>
    <row r="184" spans="1:12" ht="15" customHeight="1" x14ac:dyDescent="0.25">
      <c r="A184" s="49">
        <v>1982</v>
      </c>
      <c r="B184" s="330" t="s">
        <v>7</v>
      </c>
      <c r="C184" s="331">
        <v>18287816047</v>
      </c>
      <c r="D184" s="331">
        <v>7106954657</v>
      </c>
      <c r="E184" s="331">
        <v>84963866</v>
      </c>
      <c r="F184" s="331">
        <v>193527</v>
      </c>
      <c r="G184" s="332">
        <f t="shared" si="4"/>
        <v>1.0582291483172857E-5</v>
      </c>
      <c r="H184" s="331">
        <v>556</v>
      </c>
      <c r="I184" s="331">
        <v>4409</v>
      </c>
      <c r="J184" s="331">
        <f t="shared" si="5"/>
        <v>-3853</v>
      </c>
      <c r="K184" s="199">
        <v>1.2</v>
      </c>
      <c r="L184" s="199">
        <v>1.08</v>
      </c>
    </row>
    <row r="185" spans="1:12" ht="15" customHeight="1" x14ac:dyDescent="0.25">
      <c r="A185" s="49">
        <v>1983</v>
      </c>
      <c r="B185" s="330" t="s">
        <v>7</v>
      </c>
      <c r="C185" s="331">
        <v>19008462231</v>
      </c>
      <c r="D185" s="331">
        <v>8028624524</v>
      </c>
      <c r="E185" s="331">
        <v>125862036</v>
      </c>
      <c r="F185" s="331">
        <v>236902</v>
      </c>
      <c r="G185" s="332">
        <f t="shared" si="4"/>
        <v>1.2462975548524265E-5</v>
      </c>
      <c r="H185" s="331">
        <v>0</v>
      </c>
      <c r="I185" s="331">
        <v>112884</v>
      </c>
      <c r="J185" s="331">
        <f t="shared" si="5"/>
        <v>-112884</v>
      </c>
      <c r="K185" s="199">
        <v>1.57</v>
      </c>
      <c r="L185" s="199">
        <v>1.1499999999999999</v>
      </c>
    </row>
    <row r="186" spans="1:12" ht="15" customHeight="1" x14ac:dyDescent="0.25">
      <c r="A186" s="49">
        <v>1984</v>
      </c>
      <c r="B186" s="330" t="s">
        <v>7</v>
      </c>
      <c r="C186" s="331">
        <v>20847978527</v>
      </c>
      <c r="D186" s="331">
        <v>9264067551</v>
      </c>
      <c r="E186" s="331">
        <v>264903156</v>
      </c>
      <c r="F186" s="331">
        <v>149546</v>
      </c>
      <c r="G186" s="332">
        <f t="shared" si="4"/>
        <v>7.1731654849089823E-6</v>
      </c>
      <c r="H186" s="331">
        <v>28035</v>
      </c>
      <c r="I186" s="331">
        <v>41566</v>
      </c>
      <c r="J186" s="331">
        <f t="shared" si="5"/>
        <v>-13531</v>
      </c>
      <c r="K186" s="199">
        <v>2.86</v>
      </c>
      <c r="L186" s="199">
        <v>1.1499999999999999</v>
      </c>
    </row>
    <row r="187" spans="1:12" ht="15" customHeight="1" x14ac:dyDescent="0.25">
      <c r="A187" s="49">
        <v>1985</v>
      </c>
      <c r="B187" s="330" t="s">
        <v>7</v>
      </c>
      <c r="C187" s="331">
        <v>21913205265</v>
      </c>
      <c r="D187" s="331">
        <v>9444740472</v>
      </c>
      <c r="E187" s="331">
        <v>257129910</v>
      </c>
      <c r="F187" s="331">
        <v>170976</v>
      </c>
      <c r="G187" s="332">
        <f t="shared" si="4"/>
        <v>7.8024185842444814E-6</v>
      </c>
      <c r="H187" s="331">
        <v>84470</v>
      </c>
      <c r="I187" s="331">
        <v>0</v>
      </c>
      <c r="J187" s="331">
        <f t="shared" si="5"/>
        <v>84470</v>
      </c>
      <c r="K187" s="199">
        <v>2.72</v>
      </c>
      <c r="L187" s="199">
        <v>1.1499999999999999</v>
      </c>
    </row>
    <row r="188" spans="1:12" ht="15" customHeight="1" x14ac:dyDescent="0.25">
      <c r="A188" s="49">
        <v>1986</v>
      </c>
      <c r="B188" s="330" t="s">
        <v>7</v>
      </c>
      <c r="C188" s="331">
        <v>22414063036</v>
      </c>
      <c r="D188" s="331">
        <v>9292449548</v>
      </c>
      <c r="E188" s="331">
        <v>192955716</v>
      </c>
      <c r="F188" s="331">
        <v>219690</v>
      </c>
      <c r="G188" s="332">
        <f t="shared" si="4"/>
        <v>9.8014358060449956E-6</v>
      </c>
      <c r="H188" s="331">
        <v>83120</v>
      </c>
      <c r="I188" s="331">
        <v>0</v>
      </c>
      <c r="J188" s="331">
        <f t="shared" si="5"/>
        <v>83120</v>
      </c>
      <c r="K188" s="199">
        <v>2.08</v>
      </c>
      <c r="L188" s="199">
        <v>1.1499999999999999</v>
      </c>
    </row>
    <row r="189" spans="1:12" ht="15" customHeight="1" x14ac:dyDescent="0.25">
      <c r="A189" s="49">
        <v>1987</v>
      </c>
      <c r="B189" s="330" t="s">
        <v>7</v>
      </c>
      <c r="C189" s="331">
        <v>22802184286</v>
      </c>
      <c r="D189" s="331">
        <v>9971217410</v>
      </c>
      <c r="E189" s="331">
        <v>209070811</v>
      </c>
      <c r="F189" s="331">
        <v>207271</v>
      </c>
      <c r="G189" s="332">
        <f t="shared" si="4"/>
        <v>9.0899624965867623E-6</v>
      </c>
      <c r="H189" s="331">
        <v>96052</v>
      </c>
      <c r="I189" s="331">
        <v>0</v>
      </c>
      <c r="J189" s="331">
        <f t="shared" si="5"/>
        <v>96052</v>
      </c>
      <c r="K189" s="199">
        <v>2.1</v>
      </c>
      <c r="L189" s="199">
        <v>1.1499999999999999</v>
      </c>
    </row>
    <row r="190" spans="1:12" ht="15" customHeight="1" x14ac:dyDescent="0.25">
      <c r="A190" s="49">
        <v>1988</v>
      </c>
      <c r="B190" s="330" t="s">
        <v>7</v>
      </c>
      <c r="C190" s="331">
        <v>23893249589</v>
      </c>
      <c r="D190" s="331">
        <v>10862317764</v>
      </c>
      <c r="E190" s="331">
        <v>222271274</v>
      </c>
      <c r="F190" s="331">
        <v>171379</v>
      </c>
      <c r="G190" s="332">
        <f t="shared" si="4"/>
        <v>7.1726953406496721E-6</v>
      </c>
      <c r="H190" s="331">
        <v>163164</v>
      </c>
      <c r="I190" s="331">
        <v>0</v>
      </c>
      <c r="J190" s="331">
        <f t="shared" si="5"/>
        <v>163164</v>
      </c>
      <c r="K190" s="199">
        <v>2.0499999999999998</v>
      </c>
      <c r="L190" s="199">
        <v>1.1499999999999999</v>
      </c>
    </row>
    <row r="191" spans="1:12" ht="15" customHeight="1" x14ac:dyDescent="0.25">
      <c r="A191" s="49">
        <v>1989</v>
      </c>
      <c r="B191" s="330" t="s">
        <v>7</v>
      </c>
      <c r="C191" s="331">
        <v>25230480841</v>
      </c>
      <c r="D191" s="331">
        <v>11293715421</v>
      </c>
      <c r="E191" s="331">
        <v>194321138</v>
      </c>
      <c r="F191" s="331">
        <v>145529</v>
      </c>
      <c r="G191" s="332">
        <f t="shared" si="4"/>
        <v>5.7679836114543117E-6</v>
      </c>
      <c r="H191" s="331">
        <v>239113</v>
      </c>
      <c r="I191" s="331">
        <v>0</v>
      </c>
      <c r="J191" s="331">
        <f t="shared" si="5"/>
        <v>239113</v>
      </c>
      <c r="K191" s="199">
        <v>1.72</v>
      </c>
      <c r="L191" s="199">
        <v>1.1499999999999999</v>
      </c>
    </row>
    <row r="192" spans="1:12" ht="15" customHeight="1" x14ac:dyDescent="0.25">
      <c r="A192" s="49">
        <v>1990</v>
      </c>
      <c r="B192" s="330" t="s">
        <v>7</v>
      </c>
      <c r="C192" s="331">
        <v>27039497492</v>
      </c>
      <c r="D192" s="331">
        <v>11725435148</v>
      </c>
      <c r="E192" s="331">
        <v>170664828</v>
      </c>
      <c r="F192" s="331">
        <v>106279</v>
      </c>
      <c r="G192" s="332">
        <f t="shared" si="4"/>
        <v>3.9305094346314707E-6</v>
      </c>
      <c r="H192" s="331">
        <v>300557</v>
      </c>
      <c r="I192" s="331">
        <v>0</v>
      </c>
      <c r="J192" s="331">
        <f t="shared" si="5"/>
        <v>300557</v>
      </c>
      <c r="K192" s="199">
        <v>1.46</v>
      </c>
      <c r="L192" s="199">
        <v>1.1499999999999999</v>
      </c>
    </row>
    <row r="193" spans="1:12" ht="15" customHeight="1" x14ac:dyDescent="0.25">
      <c r="A193" s="49">
        <v>1991</v>
      </c>
      <c r="B193" s="330" t="s">
        <v>7</v>
      </c>
      <c r="C193" s="331">
        <v>28600485402</v>
      </c>
      <c r="D193" s="331">
        <v>12037613657</v>
      </c>
      <c r="E193" s="331">
        <v>148368299</v>
      </c>
      <c r="F193" s="331">
        <v>173728</v>
      </c>
      <c r="G193" s="332">
        <f t="shared" si="4"/>
        <v>6.074302500748865E-6</v>
      </c>
      <c r="H193" s="331">
        <v>312036</v>
      </c>
      <c r="I193" s="331">
        <v>0</v>
      </c>
      <c r="J193" s="331">
        <f t="shared" si="5"/>
        <v>312036</v>
      </c>
      <c r="K193" s="199">
        <v>1.23</v>
      </c>
      <c r="L193" s="199">
        <v>1.1499999999999999</v>
      </c>
    </row>
    <row r="194" spans="1:12" ht="15" customHeight="1" x14ac:dyDescent="0.25">
      <c r="A194" s="49">
        <v>1992</v>
      </c>
      <c r="B194" s="330" t="s">
        <v>7</v>
      </c>
      <c r="C194" s="331">
        <v>30892648918</v>
      </c>
      <c r="D194" s="331">
        <v>12601985936</v>
      </c>
      <c r="E194" s="331">
        <v>170988414</v>
      </c>
      <c r="F194" s="331">
        <v>177994</v>
      </c>
      <c r="G194" s="332">
        <f t="shared" ref="G194:G257" si="6">F194/C194</f>
        <v>5.7616943264547798E-6</v>
      </c>
      <c r="H194" s="331">
        <v>339246</v>
      </c>
      <c r="I194" s="331">
        <v>0</v>
      </c>
      <c r="J194" s="331">
        <f t="shared" ref="J194:J257" si="7">H194-I194</f>
        <v>339246</v>
      </c>
      <c r="K194" s="199">
        <v>1.36</v>
      </c>
      <c r="L194" s="199">
        <v>1.1499999999999999</v>
      </c>
    </row>
    <row r="195" spans="1:12" ht="15" customHeight="1" x14ac:dyDescent="0.25">
      <c r="A195" s="49">
        <v>1993</v>
      </c>
      <c r="B195" s="330" t="s">
        <v>7</v>
      </c>
      <c r="C195" s="331">
        <v>33853683532</v>
      </c>
      <c r="D195" s="331">
        <v>13997431661</v>
      </c>
      <c r="E195" s="331">
        <v>187515661</v>
      </c>
      <c r="F195" s="331">
        <v>167249</v>
      </c>
      <c r="G195" s="332">
        <f t="shared" si="6"/>
        <v>4.940348657832429E-6</v>
      </c>
      <c r="H195" s="331">
        <v>390435</v>
      </c>
      <c r="I195" s="331">
        <v>0</v>
      </c>
      <c r="J195" s="331">
        <f t="shared" si="7"/>
        <v>390435</v>
      </c>
      <c r="K195" s="199">
        <v>1.34</v>
      </c>
      <c r="L195" s="199">
        <v>1.1499999999999999</v>
      </c>
    </row>
    <row r="196" spans="1:12" ht="15" customHeight="1" x14ac:dyDescent="0.25">
      <c r="A196" s="49">
        <v>1994</v>
      </c>
      <c r="B196" s="330" t="s">
        <v>7</v>
      </c>
      <c r="C196" s="331">
        <v>35997308516</v>
      </c>
      <c r="D196" s="331">
        <v>14587592414</v>
      </c>
      <c r="E196" s="331">
        <v>192135253</v>
      </c>
      <c r="F196" s="331">
        <v>180370</v>
      </c>
      <c r="G196" s="332">
        <f t="shared" si="6"/>
        <v>5.0106523914094734E-6</v>
      </c>
      <c r="H196" s="331">
        <v>434482</v>
      </c>
      <c r="I196" s="331">
        <v>0</v>
      </c>
      <c r="J196" s="331">
        <f t="shared" si="7"/>
        <v>434482</v>
      </c>
      <c r="K196" s="199">
        <v>1.32</v>
      </c>
      <c r="L196" s="199">
        <v>1.1499999999999999</v>
      </c>
    </row>
    <row r="197" spans="1:12" ht="15" customHeight="1" x14ac:dyDescent="0.25">
      <c r="A197" s="49">
        <v>1995</v>
      </c>
      <c r="B197" s="330" t="s">
        <v>7</v>
      </c>
      <c r="C197" s="331">
        <v>39276105752</v>
      </c>
      <c r="D197" s="331">
        <v>15558292923</v>
      </c>
      <c r="E197" s="331">
        <v>184276036</v>
      </c>
      <c r="F197" s="331">
        <v>179307</v>
      </c>
      <c r="G197" s="332">
        <f t="shared" si="6"/>
        <v>4.5652947655297883E-6</v>
      </c>
      <c r="H197" s="331">
        <v>480582</v>
      </c>
      <c r="I197" s="331">
        <v>0</v>
      </c>
      <c r="J197" s="331">
        <f t="shared" si="7"/>
        <v>480582</v>
      </c>
      <c r="K197" s="199">
        <v>1.18</v>
      </c>
      <c r="L197" s="199">
        <v>1.1000000000000001</v>
      </c>
    </row>
    <row r="198" spans="1:12" ht="15" customHeight="1" x14ac:dyDescent="0.25">
      <c r="A198" s="49">
        <v>1996</v>
      </c>
      <c r="B198" s="330" t="s">
        <v>7</v>
      </c>
      <c r="C198" s="331">
        <v>43239739623</v>
      </c>
      <c r="D198" s="331">
        <v>16546819748</v>
      </c>
      <c r="E198" s="331">
        <v>172012207</v>
      </c>
      <c r="F198" s="331">
        <v>188959</v>
      </c>
      <c r="G198" s="332">
        <f t="shared" si="6"/>
        <v>4.3700309402300216E-6</v>
      </c>
      <c r="H198" s="331">
        <v>510956</v>
      </c>
      <c r="I198" s="331">
        <v>0</v>
      </c>
      <c r="J198" s="331">
        <f t="shared" si="7"/>
        <v>510956</v>
      </c>
      <c r="K198" s="199">
        <v>1.04</v>
      </c>
      <c r="L198" s="199">
        <v>1.1000000000000001</v>
      </c>
    </row>
    <row r="199" spans="1:12" ht="15" customHeight="1" x14ac:dyDescent="0.25">
      <c r="A199" s="49">
        <v>1997</v>
      </c>
      <c r="B199" s="330" t="s">
        <v>7</v>
      </c>
      <c r="C199" s="331">
        <v>47881315041</v>
      </c>
      <c r="D199" s="331">
        <v>17651232725</v>
      </c>
      <c r="E199" s="331">
        <v>183097374</v>
      </c>
      <c r="F199" s="331">
        <v>161522</v>
      </c>
      <c r="G199" s="332">
        <f t="shared" si="6"/>
        <v>3.3733827039146963E-6</v>
      </c>
      <c r="H199" s="331">
        <v>574413</v>
      </c>
      <c r="I199" s="331">
        <v>0</v>
      </c>
      <c r="J199" s="331">
        <f t="shared" si="7"/>
        <v>574413</v>
      </c>
      <c r="K199" s="199">
        <v>1.04</v>
      </c>
      <c r="L199" s="199">
        <v>1.1000000000000001</v>
      </c>
    </row>
    <row r="200" spans="1:12" ht="15" customHeight="1" x14ac:dyDescent="0.25">
      <c r="A200" s="49">
        <v>1998</v>
      </c>
      <c r="B200" s="330" t="s">
        <v>7</v>
      </c>
      <c r="C200" s="331">
        <v>54100541064</v>
      </c>
      <c r="D200" s="331">
        <v>18912774439</v>
      </c>
      <c r="E200" s="331">
        <v>178334349</v>
      </c>
      <c r="F200" s="331">
        <v>151645</v>
      </c>
      <c r="G200" s="332">
        <f t="shared" si="6"/>
        <v>2.8030218740438586E-6</v>
      </c>
      <c r="H200" s="331">
        <v>647913</v>
      </c>
      <c r="I200" s="331">
        <v>0</v>
      </c>
      <c r="J200" s="331">
        <f t="shared" si="7"/>
        <v>647913</v>
      </c>
      <c r="K200" s="199">
        <v>0.94</v>
      </c>
      <c r="L200" s="199">
        <v>1.1000000000000001</v>
      </c>
    </row>
    <row r="201" spans="1:12" ht="15" customHeight="1" x14ac:dyDescent="0.25">
      <c r="A201" s="49">
        <v>1999</v>
      </c>
      <c r="B201" s="330" t="s">
        <v>7</v>
      </c>
      <c r="C201" s="331">
        <v>60054203396</v>
      </c>
      <c r="D201" s="331">
        <v>20126329934</v>
      </c>
      <c r="E201" s="331">
        <v>192273284</v>
      </c>
      <c r="F201" s="331">
        <v>158560</v>
      </c>
      <c r="G201" s="332">
        <f t="shared" si="6"/>
        <v>2.6402814629718511E-6</v>
      </c>
      <c r="H201" s="331">
        <v>718856</v>
      </c>
      <c r="I201" s="331">
        <v>0</v>
      </c>
      <c r="J201" s="331">
        <f t="shared" si="7"/>
        <v>718856</v>
      </c>
      <c r="K201" s="199">
        <v>0.96</v>
      </c>
      <c r="L201" s="199">
        <v>1.1000000000000001</v>
      </c>
    </row>
    <row r="202" spans="1:12" ht="15" customHeight="1" x14ac:dyDescent="0.25">
      <c r="A202" s="49">
        <v>2000</v>
      </c>
      <c r="B202" s="330" t="s">
        <v>7</v>
      </c>
      <c r="C202" s="331">
        <v>68503689797</v>
      </c>
      <c r="D202" s="331">
        <v>21435047770</v>
      </c>
      <c r="E202" s="331">
        <v>185367380</v>
      </c>
      <c r="F202" s="331">
        <v>157662</v>
      </c>
      <c r="G202" s="332">
        <f t="shared" si="6"/>
        <v>2.3015110641077399E-6</v>
      </c>
      <c r="H202" s="331">
        <v>786693</v>
      </c>
      <c r="I202" s="331">
        <v>0</v>
      </c>
      <c r="J202" s="331">
        <f t="shared" si="7"/>
        <v>786693</v>
      </c>
      <c r="K202" s="199">
        <v>0.86</v>
      </c>
      <c r="L202" s="199">
        <v>1.1000000000000001</v>
      </c>
    </row>
    <row r="203" spans="1:12" ht="15" customHeight="1" x14ac:dyDescent="0.25">
      <c r="A203" s="49">
        <v>2001</v>
      </c>
      <c r="B203" s="330" t="s">
        <v>7</v>
      </c>
      <c r="C203" s="331">
        <v>69858760191</v>
      </c>
      <c r="D203" s="331">
        <v>21526710407</v>
      </c>
      <c r="E203" s="331">
        <v>183992695</v>
      </c>
      <c r="F203" s="331">
        <v>319931</v>
      </c>
      <c r="G203" s="332">
        <f t="shared" si="6"/>
        <v>4.5796833371402597E-6</v>
      </c>
      <c r="H203" s="331">
        <v>684517</v>
      </c>
      <c r="I203" s="331">
        <v>0</v>
      </c>
      <c r="J203" s="331">
        <f t="shared" si="7"/>
        <v>684517</v>
      </c>
      <c r="K203" s="199">
        <v>0.85</v>
      </c>
      <c r="L203" s="199">
        <v>1.1000000000000001</v>
      </c>
    </row>
    <row r="204" spans="1:12" ht="15" customHeight="1" x14ac:dyDescent="0.25">
      <c r="A204" s="49">
        <v>2002</v>
      </c>
      <c r="B204" s="330" t="s">
        <v>7</v>
      </c>
      <c r="C204" s="331">
        <v>67079743347</v>
      </c>
      <c r="D204" s="331">
        <v>20577781969</v>
      </c>
      <c r="E204" s="331">
        <v>175853135</v>
      </c>
      <c r="F204" s="331">
        <v>540952</v>
      </c>
      <c r="G204" s="332">
        <f t="shared" si="6"/>
        <v>8.0643123096295052E-6</v>
      </c>
      <c r="H204" s="331">
        <v>472388</v>
      </c>
      <c r="I204" s="331">
        <v>0</v>
      </c>
      <c r="J204" s="331">
        <f t="shared" si="7"/>
        <v>472388</v>
      </c>
      <c r="K204" s="199">
        <v>0.85</v>
      </c>
      <c r="L204" s="199">
        <v>1.1000000000000001</v>
      </c>
    </row>
    <row r="205" spans="1:12" ht="15" customHeight="1" x14ac:dyDescent="0.25">
      <c r="A205" s="49">
        <v>2003</v>
      </c>
      <c r="B205" s="330" t="s">
        <v>7</v>
      </c>
      <c r="C205" s="331">
        <v>67105399919</v>
      </c>
      <c r="D205" s="331">
        <v>20058221609</v>
      </c>
      <c r="E205" s="331">
        <v>207953466</v>
      </c>
      <c r="F205" s="331">
        <v>536068</v>
      </c>
      <c r="G205" s="332">
        <f t="shared" si="6"/>
        <v>7.9884480331994793E-6</v>
      </c>
      <c r="H205" s="331">
        <v>132078</v>
      </c>
      <c r="I205" s="331">
        <v>0</v>
      </c>
      <c r="J205" s="331">
        <f t="shared" si="7"/>
        <v>132078</v>
      </c>
      <c r="K205" s="199">
        <v>1.04</v>
      </c>
      <c r="L205" s="199">
        <v>1.1000000000000001</v>
      </c>
    </row>
    <row r="206" spans="1:12" ht="15" customHeight="1" x14ac:dyDescent="0.25">
      <c r="A206" s="49">
        <v>2004</v>
      </c>
      <c r="B206" s="330" t="s">
        <v>7</v>
      </c>
      <c r="C206" s="331">
        <v>70317299857</v>
      </c>
      <c r="D206" s="331">
        <v>20541065661</v>
      </c>
      <c r="E206" s="331">
        <v>385929453</v>
      </c>
      <c r="F206" s="331">
        <v>388820</v>
      </c>
      <c r="G206" s="332">
        <f t="shared" si="6"/>
        <v>5.5295069746807615E-6</v>
      </c>
      <c r="H206" s="331">
        <v>87987</v>
      </c>
      <c r="I206" s="331">
        <v>0</v>
      </c>
      <c r="J206" s="331">
        <f t="shared" si="7"/>
        <v>87987</v>
      </c>
      <c r="K206" s="199">
        <v>1.88</v>
      </c>
      <c r="L206" s="199">
        <v>1.1000000000000001</v>
      </c>
    </row>
    <row r="207" spans="1:12" ht="15" customHeight="1" x14ac:dyDescent="0.25">
      <c r="A207" s="49">
        <v>2005</v>
      </c>
      <c r="B207" s="330" t="s">
        <v>7</v>
      </c>
      <c r="C207" s="331">
        <v>74465645438</v>
      </c>
      <c r="D207" s="331">
        <v>21334321565</v>
      </c>
      <c r="E207" s="331">
        <v>524476322</v>
      </c>
      <c r="F207" s="331">
        <v>310276</v>
      </c>
      <c r="G207" s="332">
        <f t="shared" si="6"/>
        <v>4.1666999349161003E-6</v>
      </c>
      <c r="H207" s="331">
        <v>289067</v>
      </c>
      <c r="I207" s="331">
        <v>0</v>
      </c>
      <c r="J207" s="331">
        <f t="shared" si="7"/>
        <v>289067</v>
      </c>
      <c r="K207" s="199">
        <v>2.46</v>
      </c>
      <c r="L207" s="199">
        <v>1.1000000000000001</v>
      </c>
    </row>
    <row r="208" spans="1:12" ht="15" customHeight="1" x14ac:dyDescent="0.25">
      <c r="A208" s="49">
        <v>2006</v>
      </c>
      <c r="B208" s="330" t="s">
        <v>7</v>
      </c>
      <c r="C208" s="331">
        <v>80177848055</v>
      </c>
      <c r="D208" s="331">
        <v>22139515517</v>
      </c>
      <c r="E208" s="331">
        <v>472334085</v>
      </c>
      <c r="F208" s="331">
        <v>288163</v>
      </c>
      <c r="G208" s="332">
        <f t="shared" si="6"/>
        <v>3.5940475703753908E-6</v>
      </c>
      <c r="H208" s="331">
        <v>494601</v>
      </c>
      <c r="I208" s="331">
        <v>0</v>
      </c>
      <c r="J208" s="331">
        <f t="shared" si="7"/>
        <v>494601</v>
      </c>
      <c r="K208" s="199">
        <v>2.13</v>
      </c>
      <c r="L208" s="199">
        <v>1.1000000000000001</v>
      </c>
    </row>
    <row r="209" spans="1:12" ht="15" customHeight="1" x14ac:dyDescent="0.25">
      <c r="A209" s="49">
        <v>2007</v>
      </c>
      <c r="B209" s="330" t="s">
        <v>7</v>
      </c>
      <c r="C209" s="331">
        <v>85711240487</v>
      </c>
      <c r="D209" s="331">
        <v>22992320773</v>
      </c>
      <c r="E209" s="331">
        <v>406361552</v>
      </c>
      <c r="F209" s="331">
        <v>300545</v>
      </c>
      <c r="G209" s="332">
        <f t="shared" si="6"/>
        <v>3.5064829104367504E-6</v>
      </c>
      <c r="H209" s="331">
        <v>630397</v>
      </c>
      <c r="I209" s="331">
        <v>0</v>
      </c>
      <c r="J209" s="331">
        <f t="shared" si="7"/>
        <v>630397</v>
      </c>
      <c r="K209" s="199">
        <v>1.77</v>
      </c>
      <c r="L209" s="199">
        <v>1.1000000000000001</v>
      </c>
    </row>
    <row r="210" spans="1:12" ht="15" customHeight="1" x14ac:dyDescent="0.25">
      <c r="A210" s="49">
        <v>2008</v>
      </c>
      <c r="B210" s="330" t="s">
        <v>7</v>
      </c>
      <c r="C210" s="331">
        <v>88023508310</v>
      </c>
      <c r="D210" s="331">
        <v>23045830383</v>
      </c>
      <c r="E210" s="331">
        <v>381311772</v>
      </c>
      <c r="F210" s="331">
        <v>416044</v>
      </c>
      <c r="G210" s="332">
        <f t="shared" si="6"/>
        <v>4.7265100879049474E-6</v>
      </c>
      <c r="H210" s="331">
        <v>627982</v>
      </c>
      <c r="I210" s="331">
        <v>0</v>
      </c>
      <c r="J210" s="331">
        <f t="shared" si="7"/>
        <v>627982</v>
      </c>
      <c r="K210" s="199">
        <v>1.7</v>
      </c>
      <c r="L210" s="199">
        <v>1.1000000000000001</v>
      </c>
    </row>
    <row r="211" spans="1:12" x14ac:dyDescent="0.25">
      <c r="A211" s="49">
        <v>2009</v>
      </c>
      <c r="B211" s="330" t="s">
        <v>7</v>
      </c>
      <c r="C211" s="331">
        <v>82637089798</v>
      </c>
      <c r="D211" s="331">
        <v>21221858143</v>
      </c>
      <c r="E211" s="331">
        <v>338370212</v>
      </c>
      <c r="F211" s="331">
        <v>1062137</v>
      </c>
      <c r="G211" s="332">
        <f t="shared" si="6"/>
        <v>1.2853030069141013E-5</v>
      </c>
      <c r="H211" s="331">
        <v>64579</v>
      </c>
      <c r="I211" s="331">
        <v>0</v>
      </c>
      <c r="J211" s="331">
        <f t="shared" si="7"/>
        <v>64579</v>
      </c>
      <c r="K211" s="199">
        <v>1.6</v>
      </c>
      <c r="L211" s="199">
        <v>0.97</v>
      </c>
    </row>
    <row r="212" spans="1:12" ht="15" customHeight="1" x14ac:dyDescent="0.25">
      <c r="A212" s="49">
        <v>2010</v>
      </c>
      <c r="B212" s="330" t="s">
        <v>7</v>
      </c>
      <c r="C212" s="331">
        <v>83236524733</v>
      </c>
      <c r="D212" s="331">
        <v>20999871808</v>
      </c>
      <c r="E212" s="331">
        <v>441091793</v>
      </c>
      <c r="F212" s="331">
        <v>917904</v>
      </c>
      <c r="G212" s="332">
        <f t="shared" si="6"/>
        <v>1.1027658866637992E-5</v>
      </c>
      <c r="H212" s="331">
        <v>10405</v>
      </c>
      <c r="I212" s="331">
        <v>423087</v>
      </c>
      <c r="J212" s="331">
        <f t="shared" si="7"/>
        <v>-412682</v>
      </c>
      <c r="K212" s="199">
        <v>2.1</v>
      </c>
      <c r="L212" s="199">
        <v>1.07</v>
      </c>
    </row>
    <row r="213" spans="1:12" ht="15" customHeight="1" x14ac:dyDescent="0.25">
      <c r="A213" s="49">
        <v>2011</v>
      </c>
      <c r="B213" s="330" t="s">
        <v>7</v>
      </c>
      <c r="C213" s="331">
        <v>87317345924</v>
      </c>
      <c r="D213" s="331">
        <v>21575890686</v>
      </c>
      <c r="E213" s="331">
        <v>763048204</v>
      </c>
      <c r="F213" s="331">
        <v>673107</v>
      </c>
      <c r="G213" s="332">
        <f t="shared" si="6"/>
        <v>7.7087432385526745E-6</v>
      </c>
      <c r="H213" s="331">
        <v>10003</v>
      </c>
      <c r="I213" s="331">
        <v>340754</v>
      </c>
      <c r="J213" s="331">
        <f t="shared" si="7"/>
        <v>-330751</v>
      </c>
      <c r="K213" s="199">
        <v>3.5</v>
      </c>
      <c r="L213" s="199">
        <v>1.07</v>
      </c>
    </row>
    <row r="214" spans="1:12" ht="15" customHeight="1" x14ac:dyDescent="0.25">
      <c r="A214" s="49">
        <v>2012</v>
      </c>
      <c r="B214" s="330" t="s">
        <v>7</v>
      </c>
      <c r="C214" s="331">
        <v>92832672096</v>
      </c>
      <c r="D214" s="331">
        <v>23953235687</v>
      </c>
      <c r="E214" s="331">
        <v>799327743</v>
      </c>
      <c r="F214" s="331">
        <v>594384</v>
      </c>
      <c r="G214" s="332">
        <f t="shared" si="6"/>
        <v>6.4027457852913726E-6</v>
      </c>
      <c r="H214" s="331">
        <v>531563</v>
      </c>
      <c r="I214" s="331">
        <v>0</v>
      </c>
      <c r="J214" s="331">
        <f t="shared" si="7"/>
        <v>531563</v>
      </c>
      <c r="K214" s="199">
        <v>3.34</v>
      </c>
      <c r="L214" s="199">
        <v>1.07</v>
      </c>
    </row>
    <row r="215" spans="1:12" ht="15" customHeight="1" x14ac:dyDescent="0.25">
      <c r="A215" s="49">
        <v>2013</v>
      </c>
      <c r="B215" s="330" t="s">
        <v>7</v>
      </c>
      <c r="C215" s="331">
        <v>96385039079</v>
      </c>
      <c r="D215" s="331">
        <v>25529272945</v>
      </c>
      <c r="E215" s="331">
        <v>677200561</v>
      </c>
      <c r="F215" s="331">
        <v>547714</v>
      </c>
      <c r="G215" s="332">
        <f t="shared" si="6"/>
        <v>5.6825624104491734E-6</v>
      </c>
      <c r="H215" s="331">
        <v>544521</v>
      </c>
      <c r="I215" s="331">
        <v>0</v>
      </c>
      <c r="J215" s="331">
        <f t="shared" si="7"/>
        <v>544521</v>
      </c>
      <c r="K215" s="199">
        <v>2.65</v>
      </c>
      <c r="L215" s="199">
        <v>1.07</v>
      </c>
    </row>
    <row r="216" spans="1:12" ht="15" customHeight="1" x14ac:dyDescent="0.25">
      <c r="A216" s="49">
        <v>2014</v>
      </c>
      <c r="B216" s="330" t="s">
        <v>7</v>
      </c>
      <c r="C216" s="331">
        <v>104144110415</v>
      </c>
      <c r="D216" s="331">
        <v>27748837089</v>
      </c>
      <c r="E216" s="331">
        <v>711534157</v>
      </c>
      <c r="F216" s="331">
        <v>493143</v>
      </c>
      <c r="G216" s="332">
        <f t="shared" si="6"/>
        <v>4.7351981598853051E-6</v>
      </c>
      <c r="H216" s="331">
        <v>643259</v>
      </c>
      <c r="I216" s="331">
        <v>0</v>
      </c>
      <c r="J216" s="331">
        <f t="shared" si="7"/>
        <v>643259</v>
      </c>
      <c r="K216" s="333">
        <v>2.5641945091892206</v>
      </c>
      <c r="L216" s="199">
        <v>1.07</v>
      </c>
    </row>
    <row r="217" spans="1:12" ht="15" customHeight="1" x14ac:dyDescent="0.25">
      <c r="A217" s="49">
        <v>2015</v>
      </c>
      <c r="B217" s="330" t="s">
        <v>7</v>
      </c>
      <c r="C217" s="334">
        <v>110421408000</v>
      </c>
      <c r="D217" s="334">
        <v>29196663000</v>
      </c>
      <c r="E217" s="334">
        <v>657010000</v>
      </c>
      <c r="F217" s="331">
        <v>498053</v>
      </c>
      <c r="G217" s="332">
        <f t="shared" si="6"/>
        <v>4.5104749977468138E-6</v>
      </c>
      <c r="H217" s="331">
        <v>681243</v>
      </c>
      <c r="I217" s="199">
        <v>0</v>
      </c>
      <c r="J217" s="331">
        <f t="shared" si="7"/>
        <v>681243</v>
      </c>
      <c r="K217" s="199">
        <v>2.2000000000000002</v>
      </c>
      <c r="L217" s="199">
        <v>1.06</v>
      </c>
    </row>
    <row r="218" spans="1:12" ht="15" customHeight="1" x14ac:dyDescent="0.25">
      <c r="A218" s="49">
        <v>1980</v>
      </c>
      <c r="B218" s="330" t="s">
        <v>8</v>
      </c>
      <c r="C218" s="331">
        <v>17710540001</v>
      </c>
      <c r="D218" s="331">
        <v>7018495255</v>
      </c>
      <c r="E218" s="331">
        <v>168505448</v>
      </c>
      <c r="F218" s="331">
        <v>163644</v>
      </c>
      <c r="G218" s="332">
        <f t="shared" si="6"/>
        <v>9.2399215377261274E-6</v>
      </c>
      <c r="H218" s="331">
        <v>108457</v>
      </c>
      <c r="I218" s="331">
        <v>370894</v>
      </c>
      <c r="J218" s="331">
        <f t="shared" si="7"/>
        <v>-262437</v>
      </c>
      <c r="K218" s="199">
        <v>2.4</v>
      </c>
      <c r="L218" s="199">
        <v>3</v>
      </c>
    </row>
    <row r="219" spans="1:12" ht="15" customHeight="1" x14ac:dyDescent="0.25">
      <c r="A219" s="49">
        <v>1981</v>
      </c>
      <c r="B219" s="330" t="s">
        <v>8</v>
      </c>
      <c r="C219" s="331">
        <v>19583908817</v>
      </c>
      <c r="D219" s="331">
        <v>7241097149</v>
      </c>
      <c r="E219" s="331">
        <v>162084369</v>
      </c>
      <c r="F219" s="331">
        <v>171773</v>
      </c>
      <c r="G219" s="332">
        <f t="shared" si="6"/>
        <v>8.7711294821231397E-6</v>
      </c>
      <c r="H219" s="331">
        <v>98579</v>
      </c>
      <c r="I219" s="331">
        <v>320946</v>
      </c>
      <c r="J219" s="331">
        <f t="shared" si="7"/>
        <v>-222367</v>
      </c>
      <c r="K219" s="199">
        <v>2.2400000000000002</v>
      </c>
      <c r="L219" s="199">
        <v>3</v>
      </c>
    </row>
    <row r="220" spans="1:12" ht="15" customHeight="1" x14ac:dyDescent="0.25">
      <c r="A220" s="49">
        <v>1982</v>
      </c>
      <c r="B220" s="330" t="s">
        <v>8</v>
      </c>
      <c r="C220" s="331">
        <v>20911146231</v>
      </c>
      <c r="D220" s="331">
        <v>8004351864</v>
      </c>
      <c r="E220" s="331">
        <v>178969402</v>
      </c>
      <c r="F220" s="331">
        <v>261193</v>
      </c>
      <c r="G220" s="332">
        <f t="shared" si="6"/>
        <v>1.2490611328268129E-5</v>
      </c>
      <c r="H220" s="331">
        <v>18046</v>
      </c>
      <c r="I220" s="331">
        <v>270461</v>
      </c>
      <c r="J220" s="331">
        <f t="shared" si="7"/>
        <v>-252415</v>
      </c>
      <c r="K220" s="199">
        <v>2.2400000000000002</v>
      </c>
      <c r="L220" s="199">
        <v>3</v>
      </c>
    </row>
    <row r="221" spans="1:12" ht="15" customHeight="1" x14ac:dyDescent="0.25">
      <c r="A221" s="49">
        <v>1983</v>
      </c>
      <c r="B221" s="330" t="s">
        <v>8</v>
      </c>
      <c r="C221" s="331">
        <v>22440475175</v>
      </c>
      <c r="D221" s="331">
        <v>8411973100</v>
      </c>
      <c r="E221" s="331">
        <v>194833543</v>
      </c>
      <c r="F221" s="331">
        <v>229994</v>
      </c>
      <c r="G221" s="332">
        <f t="shared" si="6"/>
        <v>1.0249069959812025E-5</v>
      </c>
      <c r="H221" s="331">
        <v>50917</v>
      </c>
      <c r="I221" s="331">
        <v>280276</v>
      </c>
      <c r="J221" s="331">
        <f t="shared" si="7"/>
        <v>-229359</v>
      </c>
      <c r="K221" s="199">
        <v>2.3199999999999998</v>
      </c>
      <c r="L221" s="199">
        <v>3</v>
      </c>
    </row>
    <row r="222" spans="1:12" ht="15" customHeight="1" x14ac:dyDescent="0.25">
      <c r="A222" s="49">
        <v>1984</v>
      </c>
      <c r="B222" s="330" t="s">
        <v>8</v>
      </c>
      <c r="C222" s="331">
        <v>25175590173</v>
      </c>
      <c r="D222" s="331">
        <v>9071932792</v>
      </c>
      <c r="E222" s="331">
        <v>235317714</v>
      </c>
      <c r="F222" s="331">
        <v>153127</v>
      </c>
      <c r="G222" s="332">
        <f t="shared" si="6"/>
        <v>6.0823598949518854E-6</v>
      </c>
      <c r="H222" s="331">
        <v>111536</v>
      </c>
      <c r="I222" s="331">
        <v>196400</v>
      </c>
      <c r="J222" s="331">
        <f t="shared" si="7"/>
        <v>-84864</v>
      </c>
      <c r="K222" s="199">
        <v>2.59</v>
      </c>
      <c r="L222" s="199">
        <v>3</v>
      </c>
    </row>
    <row r="223" spans="1:12" ht="15" customHeight="1" x14ac:dyDescent="0.25">
      <c r="A223" s="49">
        <v>1985</v>
      </c>
      <c r="B223" s="330" t="s">
        <v>8</v>
      </c>
      <c r="C223" s="331">
        <v>27474105645</v>
      </c>
      <c r="D223" s="331">
        <v>9425595930</v>
      </c>
      <c r="E223" s="331">
        <v>239114536</v>
      </c>
      <c r="F223" s="331">
        <v>176861</v>
      </c>
      <c r="G223" s="332">
        <f t="shared" si="6"/>
        <v>6.4373706021686954E-6</v>
      </c>
      <c r="H223" s="331">
        <v>153569</v>
      </c>
      <c r="I223" s="331">
        <v>102137</v>
      </c>
      <c r="J223" s="331">
        <f t="shared" si="7"/>
        <v>51432</v>
      </c>
      <c r="K223" s="199">
        <v>2.54</v>
      </c>
      <c r="L223" s="199">
        <v>3</v>
      </c>
    </row>
    <row r="224" spans="1:12" ht="15" customHeight="1" x14ac:dyDescent="0.25">
      <c r="A224" s="49">
        <v>1986</v>
      </c>
      <c r="B224" s="330" t="s">
        <v>8</v>
      </c>
      <c r="C224" s="331">
        <v>29962733228</v>
      </c>
      <c r="D224" s="331">
        <v>9698098656</v>
      </c>
      <c r="E224" s="331">
        <v>224839866</v>
      </c>
      <c r="F224" s="331">
        <v>174047</v>
      </c>
      <c r="G224" s="332">
        <f t="shared" si="6"/>
        <v>5.8087824857498013E-6</v>
      </c>
      <c r="H224" s="331">
        <v>192157</v>
      </c>
      <c r="I224" s="331">
        <v>0</v>
      </c>
      <c r="J224" s="331">
        <f t="shared" si="7"/>
        <v>192157</v>
      </c>
      <c r="K224" s="199">
        <v>2.3199999999999998</v>
      </c>
      <c r="L224" s="199">
        <v>3</v>
      </c>
    </row>
    <row r="225" spans="1:12" ht="15" customHeight="1" x14ac:dyDescent="0.25">
      <c r="A225" s="49">
        <v>1987</v>
      </c>
      <c r="B225" s="330" t="s">
        <v>8</v>
      </c>
      <c r="C225" s="331">
        <v>33124104847</v>
      </c>
      <c r="D225" s="331">
        <v>10476588072</v>
      </c>
      <c r="E225" s="331">
        <v>207423056</v>
      </c>
      <c r="F225" s="331">
        <v>156497</v>
      </c>
      <c r="G225" s="332">
        <f t="shared" si="6"/>
        <v>4.724565410080016E-6</v>
      </c>
      <c r="H225" s="331">
        <v>267525</v>
      </c>
      <c r="I225" s="331">
        <v>0</v>
      </c>
      <c r="J225" s="331">
        <f t="shared" si="7"/>
        <v>267525</v>
      </c>
      <c r="K225" s="199">
        <v>1.98</v>
      </c>
      <c r="L225" s="199">
        <v>3</v>
      </c>
    </row>
    <row r="226" spans="1:12" ht="15" customHeight="1" x14ac:dyDescent="0.25">
      <c r="A226" s="49">
        <v>1988</v>
      </c>
      <c r="B226" s="330" t="s">
        <v>8</v>
      </c>
      <c r="C226" s="331">
        <v>36259402845</v>
      </c>
      <c r="D226" s="331">
        <v>10756476935</v>
      </c>
      <c r="E226" s="331">
        <v>204539236</v>
      </c>
      <c r="F226" s="331">
        <v>178440</v>
      </c>
      <c r="G226" s="332">
        <f t="shared" si="6"/>
        <v>4.9212062527004918E-6</v>
      </c>
      <c r="H226" s="331">
        <v>321675</v>
      </c>
      <c r="I226" s="331">
        <v>0</v>
      </c>
      <c r="J226" s="331">
        <f t="shared" si="7"/>
        <v>321675</v>
      </c>
      <c r="K226" s="199">
        <v>1.9</v>
      </c>
      <c r="L226" s="199">
        <v>3</v>
      </c>
    </row>
    <row r="227" spans="1:12" ht="15" customHeight="1" x14ac:dyDescent="0.25">
      <c r="A227" s="49">
        <v>1989</v>
      </c>
      <c r="B227" s="330" t="s">
        <v>8</v>
      </c>
      <c r="C227" s="331">
        <v>37505845874</v>
      </c>
      <c r="D227" s="331">
        <v>10722704842</v>
      </c>
      <c r="E227" s="331">
        <v>185465620</v>
      </c>
      <c r="F227" s="331">
        <v>263764</v>
      </c>
      <c r="G227" s="332">
        <f t="shared" si="6"/>
        <v>7.0326103532262382E-6</v>
      </c>
      <c r="H227" s="331">
        <v>273699</v>
      </c>
      <c r="I227" s="331">
        <v>0</v>
      </c>
      <c r="J227" s="331">
        <f t="shared" si="7"/>
        <v>273699</v>
      </c>
      <c r="K227" s="199">
        <v>1.73</v>
      </c>
      <c r="L227" s="199">
        <v>3</v>
      </c>
    </row>
    <row r="228" spans="1:12" ht="15" customHeight="1" x14ac:dyDescent="0.25">
      <c r="A228" s="49">
        <v>1990</v>
      </c>
      <c r="B228" s="330" t="s">
        <v>8</v>
      </c>
      <c r="C228" s="331">
        <v>38258155444</v>
      </c>
      <c r="D228" s="331">
        <v>10224503914</v>
      </c>
      <c r="E228" s="331">
        <v>183843176</v>
      </c>
      <c r="F228" s="331">
        <v>428538</v>
      </c>
      <c r="G228" s="332">
        <f t="shared" si="6"/>
        <v>1.1201219583815752E-5</v>
      </c>
      <c r="H228" s="331">
        <v>38865</v>
      </c>
      <c r="I228" s="331">
        <v>0</v>
      </c>
      <c r="J228" s="331">
        <f t="shared" si="7"/>
        <v>38865</v>
      </c>
      <c r="K228" s="199">
        <v>1.8</v>
      </c>
      <c r="L228" s="199">
        <v>3</v>
      </c>
    </row>
    <row r="229" spans="1:12" ht="15" customHeight="1" x14ac:dyDescent="0.25">
      <c r="A229" s="49">
        <v>1991</v>
      </c>
      <c r="B229" s="330" t="s">
        <v>8</v>
      </c>
      <c r="C229" s="331">
        <v>37934351308</v>
      </c>
      <c r="D229" s="331">
        <v>9621440169</v>
      </c>
      <c r="E229" s="331">
        <v>199480613</v>
      </c>
      <c r="F229" s="331">
        <v>584158</v>
      </c>
      <c r="G229" s="332">
        <f t="shared" si="6"/>
        <v>1.5399182531343474E-5</v>
      </c>
      <c r="H229" s="331">
        <v>0</v>
      </c>
      <c r="I229" s="331">
        <v>353767</v>
      </c>
      <c r="J229" s="331">
        <f t="shared" si="7"/>
        <v>-353767</v>
      </c>
      <c r="K229" s="199">
        <v>2.0699999999999998</v>
      </c>
      <c r="L229" s="199">
        <v>2.66</v>
      </c>
    </row>
    <row r="230" spans="1:12" ht="15" customHeight="1" x14ac:dyDescent="0.25">
      <c r="A230" s="49">
        <v>1992</v>
      </c>
      <c r="B230" s="330" t="s">
        <v>8</v>
      </c>
      <c r="C230" s="331">
        <v>39322543510</v>
      </c>
      <c r="D230" s="331">
        <v>9478264230</v>
      </c>
      <c r="E230" s="331">
        <v>259728931</v>
      </c>
      <c r="F230" s="331">
        <v>551708</v>
      </c>
      <c r="G230" s="332">
        <f t="shared" si="6"/>
        <v>1.4030323340088536E-5</v>
      </c>
      <c r="H230" s="331">
        <v>0</v>
      </c>
      <c r="I230" s="331">
        <v>653215</v>
      </c>
      <c r="J230" s="331">
        <f t="shared" si="7"/>
        <v>-653215</v>
      </c>
      <c r="K230" s="199">
        <v>2.74</v>
      </c>
      <c r="L230" s="199">
        <v>2.5499999999999998</v>
      </c>
    </row>
    <row r="231" spans="1:12" ht="15" customHeight="1" x14ac:dyDescent="0.25">
      <c r="A231" s="49">
        <v>1993</v>
      </c>
      <c r="B231" s="330" t="s">
        <v>8</v>
      </c>
      <c r="C231" s="331">
        <v>39884127852</v>
      </c>
      <c r="D231" s="331">
        <v>9510321777</v>
      </c>
      <c r="E231" s="331">
        <v>320421835</v>
      </c>
      <c r="F231" s="331">
        <v>511623</v>
      </c>
      <c r="G231" s="332">
        <f t="shared" si="6"/>
        <v>1.2827734428555256E-5</v>
      </c>
      <c r="H231" s="331">
        <v>1062</v>
      </c>
      <c r="I231" s="331">
        <v>0</v>
      </c>
      <c r="J231" s="331">
        <f t="shared" si="7"/>
        <v>1062</v>
      </c>
      <c r="K231" s="199">
        <v>3.37</v>
      </c>
      <c r="L231" s="199">
        <v>2.5499999999999998</v>
      </c>
    </row>
    <row r="232" spans="1:12" ht="15" customHeight="1" x14ac:dyDescent="0.25">
      <c r="A232" s="49">
        <v>1994</v>
      </c>
      <c r="B232" s="330" t="s">
        <v>8</v>
      </c>
      <c r="C232" s="331">
        <v>40996182482</v>
      </c>
      <c r="D232" s="331">
        <v>11634081463</v>
      </c>
      <c r="E232" s="331">
        <v>494662315</v>
      </c>
      <c r="F232" s="331">
        <v>486387</v>
      </c>
      <c r="G232" s="332">
        <f t="shared" si="6"/>
        <v>1.1864202239161065E-5</v>
      </c>
      <c r="H232" s="331">
        <v>3311</v>
      </c>
      <c r="I232" s="331">
        <v>0</v>
      </c>
      <c r="J232" s="331">
        <f t="shared" si="7"/>
        <v>3311</v>
      </c>
      <c r="K232" s="199">
        <v>4.25</v>
      </c>
      <c r="L232" s="199">
        <v>2.5499999999999998</v>
      </c>
    </row>
    <row r="233" spans="1:12" ht="15" customHeight="1" x14ac:dyDescent="0.25">
      <c r="A233" s="49">
        <v>1995</v>
      </c>
      <c r="B233" s="330" t="s">
        <v>8</v>
      </c>
      <c r="C233" s="331">
        <v>43477136159</v>
      </c>
      <c r="D233" s="331">
        <v>12756157537</v>
      </c>
      <c r="E233" s="331">
        <v>548080244</v>
      </c>
      <c r="F233" s="331">
        <v>435310</v>
      </c>
      <c r="G233" s="332">
        <f t="shared" si="6"/>
        <v>1.0012389003913003E-5</v>
      </c>
      <c r="H233" s="331">
        <v>116692</v>
      </c>
      <c r="I233" s="331">
        <v>0</v>
      </c>
      <c r="J233" s="331">
        <f t="shared" si="7"/>
        <v>116692</v>
      </c>
      <c r="K233" s="199">
        <v>4.3</v>
      </c>
      <c r="L233" s="199">
        <v>1.96</v>
      </c>
    </row>
    <row r="234" spans="1:12" ht="15" customHeight="1" x14ac:dyDescent="0.25">
      <c r="A234" s="49">
        <v>1996</v>
      </c>
      <c r="B234" s="330" t="s">
        <v>8</v>
      </c>
      <c r="C234" s="331">
        <v>46203898629</v>
      </c>
      <c r="D234" s="331">
        <v>14094834647</v>
      </c>
      <c r="E234" s="331">
        <v>569875554</v>
      </c>
      <c r="F234" s="331">
        <v>417788</v>
      </c>
      <c r="G234" s="332">
        <f t="shared" si="6"/>
        <v>9.0422672630870641E-6</v>
      </c>
      <c r="H234" s="331">
        <v>277861</v>
      </c>
      <c r="I234" s="331">
        <v>0</v>
      </c>
      <c r="J234" s="331">
        <f t="shared" si="7"/>
        <v>277861</v>
      </c>
      <c r="K234" s="199">
        <v>4.04</v>
      </c>
      <c r="L234" s="199">
        <v>1.59</v>
      </c>
    </row>
    <row r="235" spans="1:12" ht="15" customHeight="1" x14ac:dyDescent="0.25">
      <c r="A235" s="49">
        <v>1997</v>
      </c>
      <c r="B235" s="330" t="s">
        <v>8</v>
      </c>
      <c r="C235" s="331">
        <v>50556016676</v>
      </c>
      <c r="D235" s="331">
        <v>15701069171</v>
      </c>
      <c r="E235" s="331">
        <v>599166920</v>
      </c>
      <c r="F235" s="331">
        <v>347810</v>
      </c>
      <c r="G235" s="332">
        <f t="shared" si="6"/>
        <v>6.8796954916171764E-6</v>
      </c>
      <c r="H235" s="331">
        <v>532692</v>
      </c>
      <c r="I235" s="331">
        <v>0</v>
      </c>
      <c r="J235" s="331">
        <f t="shared" si="7"/>
        <v>532692</v>
      </c>
      <c r="K235" s="199">
        <v>3.82</v>
      </c>
      <c r="L235" s="199">
        <v>1.41</v>
      </c>
    </row>
    <row r="236" spans="1:12" ht="15" customHeight="1" x14ac:dyDescent="0.25">
      <c r="A236" s="49">
        <v>1998</v>
      </c>
      <c r="B236" s="330" t="s">
        <v>8</v>
      </c>
      <c r="C236" s="331">
        <v>54430327788</v>
      </c>
      <c r="D236" s="331">
        <v>17210934097</v>
      </c>
      <c r="E236" s="331">
        <v>598707636</v>
      </c>
      <c r="F236" s="331">
        <v>325066</v>
      </c>
      <c r="G236" s="332">
        <f t="shared" si="6"/>
        <v>5.972148491666181E-6</v>
      </c>
      <c r="H236" s="331">
        <v>818138</v>
      </c>
      <c r="I236" s="331">
        <v>0</v>
      </c>
      <c r="J236" s="331">
        <f t="shared" si="7"/>
        <v>818138</v>
      </c>
      <c r="K236" s="199">
        <v>3.48</v>
      </c>
      <c r="L236" s="199">
        <v>1.41</v>
      </c>
    </row>
    <row r="237" spans="1:12" ht="15" customHeight="1" x14ac:dyDescent="0.25">
      <c r="A237" s="49">
        <v>1999</v>
      </c>
      <c r="B237" s="330" t="s">
        <v>8</v>
      </c>
      <c r="C237" s="331">
        <v>57903552869</v>
      </c>
      <c r="D237" s="331">
        <v>19584973995</v>
      </c>
      <c r="E237" s="331">
        <v>360452013</v>
      </c>
      <c r="F237" s="331">
        <v>355880</v>
      </c>
      <c r="G237" s="332">
        <f t="shared" si="6"/>
        <v>6.1460822759034628E-6</v>
      </c>
      <c r="H237" s="331">
        <v>849815</v>
      </c>
      <c r="I237" s="331">
        <v>0</v>
      </c>
      <c r="J237" s="331">
        <f t="shared" si="7"/>
        <v>849815</v>
      </c>
      <c r="K237" s="199">
        <v>1.84</v>
      </c>
      <c r="L237" s="199">
        <v>1.41</v>
      </c>
    </row>
    <row r="238" spans="1:12" ht="15" customHeight="1" x14ac:dyDescent="0.25">
      <c r="A238" s="49">
        <v>2000</v>
      </c>
      <c r="B238" s="330" t="s">
        <v>8</v>
      </c>
      <c r="C238" s="331">
        <v>62739840245</v>
      </c>
      <c r="D238" s="331">
        <v>20238145478</v>
      </c>
      <c r="E238" s="331">
        <v>308807232</v>
      </c>
      <c r="F238" s="331">
        <v>330231</v>
      </c>
      <c r="G238" s="332">
        <f t="shared" si="6"/>
        <v>5.2634976230484978E-6</v>
      </c>
      <c r="H238" s="331">
        <v>848635</v>
      </c>
      <c r="I238" s="331">
        <v>0</v>
      </c>
      <c r="J238" s="331">
        <f t="shared" si="7"/>
        <v>848635</v>
      </c>
      <c r="K238" s="199">
        <v>1.53</v>
      </c>
      <c r="L238" s="199">
        <v>1.41</v>
      </c>
    </row>
    <row r="239" spans="1:12" ht="15" customHeight="1" x14ac:dyDescent="0.25">
      <c r="A239" s="49">
        <v>2001</v>
      </c>
      <c r="B239" s="330" t="s">
        <v>8</v>
      </c>
      <c r="C239" s="331">
        <v>63367943183</v>
      </c>
      <c r="D239" s="331">
        <v>19886231994</v>
      </c>
      <c r="E239" s="331">
        <v>271049393</v>
      </c>
      <c r="F239" s="331">
        <v>489600</v>
      </c>
      <c r="G239" s="332">
        <f t="shared" si="6"/>
        <v>7.7263041122557249E-6</v>
      </c>
      <c r="H239" s="331">
        <v>629657</v>
      </c>
      <c r="I239" s="331">
        <v>0</v>
      </c>
      <c r="J239" s="331">
        <f t="shared" si="7"/>
        <v>629657</v>
      </c>
      <c r="K239" s="199">
        <v>1.36</v>
      </c>
      <c r="L239" s="199">
        <v>1.41</v>
      </c>
    </row>
    <row r="240" spans="1:12" ht="15" customHeight="1" x14ac:dyDescent="0.25">
      <c r="A240" s="49">
        <v>2002</v>
      </c>
      <c r="B240" s="330" t="s">
        <v>8</v>
      </c>
      <c r="C240" s="331">
        <v>61518259817</v>
      </c>
      <c r="D240" s="331">
        <v>19386826154</v>
      </c>
      <c r="E240" s="331">
        <v>490363286</v>
      </c>
      <c r="F240" s="331">
        <v>679637</v>
      </c>
      <c r="G240" s="332">
        <f t="shared" si="6"/>
        <v>1.1047727975754421E-5</v>
      </c>
      <c r="H240" s="331">
        <v>547985</v>
      </c>
      <c r="I240" s="331">
        <v>0</v>
      </c>
      <c r="J240" s="331">
        <f t="shared" si="7"/>
        <v>547985</v>
      </c>
      <c r="K240" s="199">
        <v>2.5299999999999998</v>
      </c>
      <c r="L240" s="199">
        <v>1.41</v>
      </c>
    </row>
    <row r="241" spans="1:12" ht="15" customHeight="1" x14ac:dyDescent="0.25">
      <c r="A241" s="49">
        <v>2003</v>
      </c>
      <c r="B241" s="330" t="s">
        <v>8</v>
      </c>
      <c r="C241" s="331">
        <v>62417996848</v>
      </c>
      <c r="D241" s="331">
        <v>19134281222</v>
      </c>
      <c r="E241" s="331">
        <v>540552905</v>
      </c>
      <c r="F241" s="331">
        <v>677484</v>
      </c>
      <c r="G241" s="332">
        <f t="shared" si="6"/>
        <v>1.0853984975676257E-5</v>
      </c>
      <c r="H241" s="331">
        <v>413214</v>
      </c>
      <c r="I241" s="331">
        <v>0</v>
      </c>
      <c r="J241" s="331">
        <f t="shared" si="7"/>
        <v>413214</v>
      </c>
      <c r="K241" s="199">
        <v>2.83</v>
      </c>
      <c r="L241" s="199">
        <v>1.41</v>
      </c>
    </row>
    <row r="242" spans="1:12" ht="15" customHeight="1" x14ac:dyDescent="0.25">
      <c r="A242" s="49">
        <v>2004</v>
      </c>
      <c r="B242" s="330" t="s">
        <v>8</v>
      </c>
      <c r="C242" s="331">
        <v>66248515003</v>
      </c>
      <c r="D242" s="331">
        <v>19427833024</v>
      </c>
      <c r="E242" s="331">
        <v>607825705</v>
      </c>
      <c r="F242" s="331">
        <v>549715</v>
      </c>
      <c r="G242" s="332">
        <f t="shared" si="6"/>
        <v>8.2977709006021755E-6</v>
      </c>
      <c r="H242" s="331">
        <v>474770</v>
      </c>
      <c r="I242" s="331">
        <v>0</v>
      </c>
      <c r="J242" s="331">
        <f t="shared" si="7"/>
        <v>474770</v>
      </c>
      <c r="K242" s="199">
        <v>3.13</v>
      </c>
      <c r="L242" s="199">
        <v>1.41</v>
      </c>
    </row>
    <row r="243" spans="1:12" ht="15" customHeight="1" x14ac:dyDescent="0.25">
      <c r="A243" s="49">
        <v>2005</v>
      </c>
      <c r="B243" s="330" t="s">
        <v>8</v>
      </c>
      <c r="C243" s="331">
        <v>69767901138</v>
      </c>
      <c r="D243" s="331">
        <v>19804931439</v>
      </c>
      <c r="E243" s="331">
        <v>594008688</v>
      </c>
      <c r="F243" s="331">
        <v>522611</v>
      </c>
      <c r="G243" s="332">
        <f t="shared" si="6"/>
        <v>7.4907083554983578E-6</v>
      </c>
      <c r="H243" s="331">
        <v>570909</v>
      </c>
      <c r="I243" s="331">
        <v>0</v>
      </c>
      <c r="J243" s="331">
        <f t="shared" si="7"/>
        <v>570909</v>
      </c>
      <c r="K243" s="199">
        <v>3</v>
      </c>
      <c r="L243" s="199">
        <v>1.41</v>
      </c>
    </row>
    <row r="244" spans="1:12" ht="15" customHeight="1" x14ac:dyDescent="0.25">
      <c r="A244" s="49">
        <v>2006</v>
      </c>
      <c r="B244" s="330" t="s">
        <v>8</v>
      </c>
      <c r="C244" s="331">
        <v>73540220887</v>
      </c>
      <c r="D244" s="331">
        <v>20192994408</v>
      </c>
      <c r="E244" s="331">
        <v>525800096</v>
      </c>
      <c r="F244" s="331">
        <v>525102</v>
      </c>
      <c r="G244" s="332">
        <f t="shared" si="6"/>
        <v>7.1403375413687996E-6</v>
      </c>
      <c r="H244" s="331">
        <v>593732</v>
      </c>
      <c r="I244" s="331">
        <v>0</v>
      </c>
      <c r="J244" s="331">
        <f t="shared" si="7"/>
        <v>593732</v>
      </c>
      <c r="K244" s="199">
        <v>2.6</v>
      </c>
      <c r="L244" s="199">
        <v>1.41</v>
      </c>
    </row>
    <row r="245" spans="1:12" ht="15" customHeight="1" x14ac:dyDescent="0.25">
      <c r="A245" s="49">
        <v>2007</v>
      </c>
      <c r="B245" s="330" t="s">
        <v>8</v>
      </c>
      <c r="C245" s="331">
        <v>78436986835</v>
      </c>
      <c r="D245" s="331">
        <v>20461875491</v>
      </c>
      <c r="E245" s="331">
        <v>524591128</v>
      </c>
      <c r="F245" s="331">
        <v>540285</v>
      </c>
      <c r="G245" s="332">
        <f t="shared" si="6"/>
        <v>6.8881406821063028E-6</v>
      </c>
      <c r="H245" s="331">
        <v>598111</v>
      </c>
      <c r="I245" s="331">
        <v>0</v>
      </c>
      <c r="J245" s="331">
        <f t="shared" si="7"/>
        <v>598111</v>
      </c>
      <c r="K245" s="199">
        <v>2.56</v>
      </c>
      <c r="L245" s="199">
        <v>1.41</v>
      </c>
    </row>
    <row r="246" spans="1:12" x14ac:dyDescent="0.25">
      <c r="A246" s="49">
        <v>2008</v>
      </c>
      <c r="B246" s="330" t="s">
        <v>8</v>
      </c>
      <c r="C246" s="331">
        <v>77896836683</v>
      </c>
      <c r="D246" s="331">
        <v>20283990860</v>
      </c>
      <c r="E246" s="331">
        <v>534267865</v>
      </c>
      <c r="F246" s="331">
        <v>679609</v>
      </c>
      <c r="G246" s="332">
        <f t="shared" si="6"/>
        <v>8.7244749458268585E-6</v>
      </c>
      <c r="H246" s="331">
        <v>445329</v>
      </c>
      <c r="I246" s="331">
        <v>0</v>
      </c>
      <c r="J246" s="331">
        <f t="shared" si="7"/>
        <v>445329</v>
      </c>
      <c r="K246" s="199">
        <v>2.6</v>
      </c>
      <c r="L246" s="199">
        <v>1.41</v>
      </c>
    </row>
    <row r="247" spans="1:12" ht="15" customHeight="1" x14ac:dyDescent="0.25">
      <c r="A247" s="49">
        <v>2009</v>
      </c>
      <c r="B247" s="330" t="s">
        <v>8</v>
      </c>
      <c r="C247" s="331">
        <v>72142362007</v>
      </c>
      <c r="D247" s="331">
        <v>18946491654</v>
      </c>
      <c r="E247" s="331">
        <v>582226615</v>
      </c>
      <c r="F247" s="331">
        <v>1239644</v>
      </c>
      <c r="G247" s="332">
        <f t="shared" si="6"/>
        <v>1.7183302092045682E-5</v>
      </c>
      <c r="H247" s="331">
        <v>38738</v>
      </c>
      <c r="I247" s="331">
        <v>179616</v>
      </c>
      <c r="J247" s="331">
        <f t="shared" si="7"/>
        <v>-140878</v>
      </c>
      <c r="K247" s="199">
        <v>3.1</v>
      </c>
      <c r="L247" s="199">
        <v>1.55</v>
      </c>
    </row>
    <row r="248" spans="1:12" ht="15" customHeight="1" x14ac:dyDescent="0.25">
      <c r="A248" s="49">
        <v>2010</v>
      </c>
      <c r="B248" s="330" t="s">
        <v>8</v>
      </c>
      <c r="C248" s="331">
        <v>73728113312</v>
      </c>
      <c r="D248" s="331">
        <v>18739688504</v>
      </c>
      <c r="E248" s="331">
        <v>654857717</v>
      </c>
      <c r="F248" s="331">
        <v>943442</v>
      </c>
      <c r="G248" s="332">
        <f t="shared" si="6"/>
        <v>1.2796231418639127E-5</v>
      </c>
      <c r="H248" s="331">
        <v>39709</v>
      </c>
      <c r="I248" s="331">
        <v>522712</v>
      </c>
      <c r="J248" s="331">
        <f t="shared" si="7"/>
        <v>-483003</v>
      </c>
      <c r="K248" s="199">
        <v>3.5</v>
      </c>
      <c r="L248" s="199">
        <v>1.55</v>
      </c>
    </row>
    <row r="249" spans="1:12" ht="15" customHeight="1" x14ac:dyDescent="0.25">
      <c r="A249" s="49">
        <v>2011</v>
      </c>
      <c r="B249" s="330" t="s">
        <v>8</v>
      </c>
      <c r="C249" s="331">
        <v>76807940527</v>
      </c>
      <c r="D249" s="331">
        <v>19060826556</v>
      </c>
      <c r="E249" s="331">
        <v>759964529</v>
      </c>
      <c r="F249" s="331">
        <v>792809</v>
      </c>
      <c r="G249" s="332">
        <f t="shared" si="6"/>
        <v>1.0321966642515391E-5</v>
      </c>
      <c r="H249" s="331">
        <v>127860</v>
      </c>
      <c r="I249" s="331">
        <v>709876</v>
      </c>
      <c r="J249" s="331">
        <f t="shared" si="7"/>
        <v>-582016</v>
      </c>
      <c r="K249" s="199">
        <v>4</v>
      </c>
      <c r="L249" s="199">
        <v>1.55</v>
      </c>
    </row>
    <row r="250" spans="1:12" ht="15" customHeight="1" x14ac:dyDescent="0.25">
      <c r="A250" s="49">
        <v>2012</v>
      </c>
      <c r="B250" s="330" t="s">
        <v>8</v>
      </c>
      <c r="C250" s="331">
        <v>79142498403</v>
      </c>
      <c r="D250" s="331">
        <v>19287939021</v>
      </c>
      <c r="E250" s="331">
        <v>812818939</v>
      </c>
      <c r="F250" s="331">
        <v>785381</v>
      </c>
      <c r="G250" s="332">
        <f t="shared" si="6"/>
        <v>9.9236316245764242E-6</v>
      </c>
      <c r="H250" s="331">
        <v>108981</v>
      </c>
      <c r="I250" s="331">
        <v>631484</v>
      </c>
      <c r="J250" s="331">
        <f t="shared" si="7"/>
        <v>-522503</v>
      </c>
      <c r="K250" s="199">
        <v>4.21</v>
      </c>
      <c r="L250" s="199">
        <v>1.55</v>
      </c>
    </row>
    <row r="251" spans="1:12" ht="15" customHeight="1" x14ac:dyDescent="0.25">
      <c r="A251" s="49">
        <v>2013</v>
      </c>
      <c r="B251" s="330" t="s">
        <v>8</v>
      </c>
      <c r="C251" s="331">
        <v>79664886901</v>
      </c>
      <c r="D251" s="331">
        <v>19540503742</v>
      </c>
      <c r="E251" s="331">
        <v>811121602</v>
      </c>
      <c r="F251" s="331">
        <v>731226</v>
      </c>
      <c r="G251" s="332">
        <f t="shared" si="6"/>
        <v>9.1787740928911199E-6</v>
      </c>
      <c r="H251" s="331">
        <v>141126</v>
      </c>
      <c r="I251" s="331">
        <v>573667</v>
      </c>
      <c r="J251" s="331">
        <f t="shared" si="7"/>
        <v>-432541</v>
      </c>
      <c r="K251" s="199">
        <v>4.1500000000000004</v>
      </c>
      <c r="L251" s="199">
        <v>1.55</v>
      </c>
    </row>
    <row r="252" spans="1:12" ht="15" customHeight="1" x14ac:dyDescent="0.25">
      <c r="A252" s="49">
        <v>2014</v>
      </c>
      <c r="B252" s="330" t="s">
        <v>8</v>
      </c>
      <c r="C252" s="331">
        <v>81992496055</v>
      </c>
      <c r="D252" s="331">
        <v>19863519156</v>
      </c>
      <c r="E252" s="331">
        <v>779692378</v>
      </c>
      <c r="F252" s="331">
        <v>684155</v>
      </c>
      <c r="G252" s="332">
        <f t="shared" si="6"/>
        <v>8.3441172414250391E-6</v>
      </c>
      <c r="H252" s="331">
        <v>158176</v>
      </c>
      <c r="I252" s="331">
        <v>432260</v>
      </c>
      <c r="J252" s="331">
        <f t="shared" si="7"/>
        <v>-274084</v>
      </c>
      <c r="K252" s="333">
        <v>3.9252479476401598</v>
      </c>
      <c r="L252" s="199">
        <v>1.55</v>
      </c>
    </row>
    <row r="253" spans="1:12" ht="15" customHeight="1" x14ac:dyDescent="0.25">
      <c r="A253" s="49">
        <v>2015</v>
      </c>
      <c r="B253" s="330" t="s">
        <v>8</v>
      </c>
      <c r="C253" s="334">
        <v>84675112000</v>
      </c>
      <c r="D253" s="334">
        <v>20277516000</v>
      </c>
      <c r="E253" s="334">
        <v>763920000</v>
      </c>
      <c r="F253" s="331">
        <v>610946</v>
      </c>
      <c r="G253" s="332">
        <f t="shared" si="6"/>
        <v>7.2151779379990668E-6</v>
      </c>
      <c r="H253" s="331">
        <v>125576</v>
      </c>
      <c r="I253" s="331">
        <v>100895</v>
      </c>
      <c r="J253" s="331">
        <f t="shared" si="7"/>
        <v>24681</v>
      </c>
      <c r="K253" s="199">
        <v>3.9</v>
      </c>
      <c r="L253" s="199">
        <v>1.55</v>
      </c>
    </row>
    <row r="254" spans="1:12" ht="15" customHeight="1" x14ac:dyDescent="0.25">
      <c r="A254" s="49">
        <v>1980</v>
      </c>
      <c r="B254" s="330" t="s">
        <v>9</v>
      </c>
      <c r="C254" s="331">
        <v>4660832801</v>
      </c>
      <c r="D254" s="331">
        <v>1838161114</v>
      </c>
      <c r="E254" s="331">
        <v>55635819</v>
      </c>
      <c r="F254" s="331">
        <v>55359</v>
      </c>
      <c r="G254" s="332">
        <f t="shared" si="6"/>
        <v>1.1877491075870069E-5</v>
      </c>
      <c r="H254" s="331">
        <v>13879</v>
      </c>
      <c r="I254" s="331">
        <v>65541</v>
      </c>
      <c r="J254" s="331">
        <f t="shared" si="7"/>
        <v>-51662</v>
      </c>
      <c r="K254" s="199">
        <v>3.03</v>
      </c>
      <c r="L254" s="199">
        <v>1.77</v>
      </c>
    </row>
    <row r="255" spans="1:12" ht="15" customHeight="1" x14ac:dyDescent="0.25">
      <c r="A255" s="49">
        <v>1981</v>
      </c>
      <c r="B255" s="330" t="s">
        <v>9</v>
      </c>
      <c r="C255" s="331">
        <v>5141262109</v>
      </c>
      <c r="D255" s="331">
        <v>1873365648</v>
      </c>
      <c r="E255" s="331">
        <v>46252345</v>
      </c>
      <c r="F255" s="331">
        <v>64148</v>
      </c>
      <c r="G255" s="332">
        <f t="shared" si="6"/>
        <v>1.2477091935792608E-5</v>
      </c>
      <c r="H255" s="331">
        <v>7392</v>
      </c>
      <c r="I255" s="331">
        <v>51122</v>
      </c>
      <c r="J255" s="331">
        <f t="shared" si="7"/>
        <v>-43730</v>
      </c>
      <c r="K255" s="199">
        <v>2.4700000000000002</v>
      </c>
      <c r="L255" s="199">
        <v>1.77</v>
      </c>
    </row>
    <row r="256" spans="1:12" ht="15" customHeight="1" x14ac:dyDescent="0.25">
      <c r="A256" s="49">
        <v>1982</v>
      </c>
      <c r="B256" s="330" t="s">
        <v>9</v>
      </c>
      <c r="C256" s="331">
        <v>5487843367</v>
      </c>
      <c r="D256" s="331">
        <v>2144394005</v>
      </c>
      <c r="E256" s="331">
        <v>46973618</v>
      </c>
      <c r="F256" s="331">
        <v>80099</v>
      </c>
      <c r="G256" s="332">
        <f t="shared" si="6"/>
        <v>1.4595715410111485E-5</v>
      </c>
      <c r="H256" s="331">
        <v>200</v>
      </c>
      <c r="I256" s="331">
        <v>56862</v>
      </c>
      <c r="J256" s="331">
        <f t="shared" si="7"/>
        <v>-56662</v>
      </c>
      <c r="K256" s="199">
        <v>2.19</v>
      </c>
      <c r="L256" s="199">
        <v>1.77</v>
      </c>
    </row>
    <row r="257" spans="1:12" ht="15" customHeight="1" x14ac:dyDescent="0.25">
      <c r="A257" s="49">
        <v>1983</v>
      </c>
      <c r="B257" s="330" t="s">
        <v>9</v>
      </c>
      <c r="C257" s="331">
        <v>5850789462</v>
      </c>
      <c r="D257" s="331">
        <v>2270330774</v>
      </c>
      <c r="E257" s="331">
        <v>63194369</v>
      </c>
      <c r="F257" s="331">
        <v>74714</v>
      </c>
      <c r="G257" s="332">
        <f t="shared" si="6"/>
        <v>1.2769900623711762E-5</v>
      </c>
      <c r="H257" s="331">
        <v>2265</v>
      </c>
      <c r="I257" s="331">
        <v>63609</v>
      </c>
      <c r="J257" s="331">
        <f t="shared" si="7"/>
        <v>-61344</v>
      </c>
      <c r="K257" s="199">
        <v>2.78</v>
      </c>
      <c r="L257" s="199">
        <v>1.77</v>
      </c>
    </row>
    <row r="258" spans="1:12" ht="15" customHeight="1" x14ac:dyDescent="0.25">
      <c r="A258" s="49">
        <v>1984</v>
      </c>
      <c r="B258" s="330" t="s">
        <v>9</v>
      </c>
      <c r="C258" s="331">
        <v>6322000262</v>
      </c>
      <c r="D258" s="331">
        <v>2402676128</v>
      </c>
      <c r="E258" s="331">
        <v>73804363</v>
      </c>
      <c r="F258" s="331">
        <v>50022</v>
      </c>
      <c r="G258" s="332">
        <f t="shared" ref="G258:G321" si="8">F258/C258</f>
        <v>7.9123691754127299E-6</v>
      </c>
      <c r="H258" s="331">
        <v>26340</v>
      </c>
      <c r="I258" s="331">
        <v>43609</v>
      </c>
      <c r="J258" s="331">
        <f t="shared" ref="J258:J321" si="9">H258-I258</f>
        <v>-17269</v>
      </c>
      <c r="K258" s="199">
        <v>3.07</v>
      </c>
      <c r="L258" s="199">
        <v>1.77</v>
      </c>
    </row>
    <row r="259" spans="1:12" ht="15" customHeight="1" x14ac:dyDescent="0.25">
      <c r="A259" s="49">
        <v>1985</v>
      </c>
      <c r="B259" s="330" t="s">
        <v>9</v>
      </c>
      <c r="C259" s="331">
        <v>6890228770</v>
      </c>
      <c r="D259" s="331">
        <v>2528253353</v>
      </c>
      <c r="E259" s="331">
        <v>80726148</v>
      </c>
      <c r="F259" s="331">
        <v>49083</v>
      </c>
      <c r="G259" s="332">
        <f t="shared" si="8"/>
        <v>7.1235660873419737E-6</v>
      </c>
      <c r="H259" s="331">
        <v>41651</v>
      </c>
      <c r="I259" s="331">
        <v>0</v>
      </c>
      <c r="J259" s="331">
        <f t="shared" si="9"/>
        <v>41651</v>
      </c>
      <c r="K259" s="199">
        <v>3.19</v>
      </c>
      <c r="L259" s="199">
        <v>1.77</v>
      </c>
    </row>
    <row r="260" spans="1:12" ht="15" customHeight="1" x14ac:dyDescent="0.25">
      <c r="A260" s="49">
        <v>1986</v>
      </c>
      <c r="B260" s="330" t="s">
        <v>9</v>
      </c>
      <c r="C260" s="331">
        <v>7554805650</v>
      </c>
      <c r="D260" s="331">
        <v>2651981239</v>
      </c>
      <c r="E260" s="331">
        <v>78746098</v>
      </c>
      <c r="F260" s="331">
        <v>59797</v>
      </c>
      <c r="G260" s="332">
        <f t="shared" si="8"/>
        <v>7.9150944141097798E-6</v>
      </c>
      <c r="H260" s="331">
        <v>71699</v>
      </c>
      <c r="I260" s="331">
        <v>0</v>
      </c>
      <c r="J260" s="331">
        <f t="shared" si="9"/>
        <v>71699</v>
      </c>
      <c r="K260" s="199">
        <v>2.97</v>
      </c>
      <c r="L260" s="199">
        <v>1.77</v>
      </c>
    </row>
    <row r="261" spans="1:12" ht="15" customHeight="1" x14ac:dyDescent="0.25">
      <c r="A261" s="49">
        <v>1987</v>
      </c>
      <c r="B261" s="330" t="s">
        <v>9</v>
      </c>
      <c r="C261" s="331">
        <v>8323509166</v>
      </c>
      <c r="D261" s="331">
        <v>2785483370</v>
      </c>
      <c r="E261" s="331">
        <v>58255028</v>
      </c>
      <c r="F261" s="331">
        <v>58598</v>
      </c>
      <c r="G261" s="332">
        <f t="shared" si="8"/>
        <v>7.0400595267392773E-6</v>
      </c>
      <c r="H261" s="331">
        <v>77893</v>
      </c>
      <c r="I261" s="331">
        <v>0</v>
      </c>
      <c r="J261" s="331">
        <f t="shared" si="9"/>
        <v>77893</v>
      </c>
      <c r="K261" s="199">
        <v>2.09</v>
      </c>
      <c r="L261" s="199">
        <v>1.77</v>
      </c>
    </row>
    <row r="262" spans="1:12" ht="15" customHeight="1" x14ac:dyDescent="0.25">
      <c r="A262" s="49">
        <v>1988</v>
      </c>
      <c r="B262" s="330" t="s">
        <v>9</v>
      </c>
      <c r="C262" s="331">
        <v>9477547545</v>
      </c>
      <c r="D262" s="331">
        <v>2944303770</v>
      </c>
      <c r="E262" s="331">
        <v>47236868</v>
      </c>
      <c r="F262" s="331">
        <v>58545</v>
      </c>
      <c r="G262" s="332">
        <f t="shared" si="8"/>
        <v>6.1772309473547463E-6</v>
      </c>
      <c r="H262" s="331">
        <v>82335</v>
      </c>
      <c r="I262" s="331">
        <v>0</v>
      </c>
      <c r="J262" s="331">
        <f t="shared" si="9"/>
        <v>82335</v>
      </c>
      <c r="K262" s="199">
        <v>1.6</v>
      </c>
      <c r="L262" s="199">
        <v>1.77</v>
      </c>
    </row>
    <row r="263" spans="1:12" ht="15" customHeight="1" x14ac:dyDescent="0.25">
      <c r="A263" s="49">
        <v>1989</v>
      </c>
      <c r="B263" s="330" t="s">
        <v>9</v>
      </c>
      <c r="C263" s="331">
        <v>10261345875</v>
      </c>
      <c r="D263" s="331">
        <v>3023419253</v>
      </c>
      <c r="E263" s="331">
        <v>45642335</v>
      </c>
      <c r="F263" s="331">
        <v>63180</v>
      </c>
      <c r="G263" s="332">
        <f t="shared" si="8"/>
        <v>6.1570870692437315E-6</v>
      </c>
      <c r="H263" s="331">
        <v>76110</v>
      </c>
      <c r="I263" s="331">
        <v>0</v>
      </c>
      <c r="J263" s="331">
        <f t="shared" si="9"/>
        <v>76110</v>
      </c>
      <c r="K263" s="199">
        <v>1.51</v>
      </c>
      <c r="L263" s="199">
        <v>1.77</v>
      </c>
    </row>
    <row r="264" spans="1:12" ht="15" customHeight="1" x14ac:dyDescent="0.25">
      <c r="A264" s="49">
        <v>1990</v>
      </c>
      <c r="B264" s="330" t="s">
        <v>9</v>
      </c>
      <c r="C264" s="331">
        <v>10576248130</v>
      </c>
      <c r="D264" s="331">
        <v>3019336921</v>
      </c>
      <c r="E264" s="331">
        <v>57677336</v>
      </c>
      <c r="F264" s="331">
        <v>76893</v>
      </c>
      <c r="G264" s="332">
        <f t="shared" si="8"/>
        <v>7.2703475802434676E-6</v>
      </c>
      <c r="H264" s="331">
        <v>67366</v>
      </c>
      <c r="I264" s="331">
        <v>0</v>
      </c>
      <c r="J264" s="331">
        <f t="shared" si="9"/>
        <v>67366</v>
      </c>
      <c r="K264" s="199">
        <v>1.91</v>
      </c>
      <c r="L264" s="199">
        <v>1.77</v>
      </c>
    </row>
    <row r="265" spans="1:12" ht="15" customHeight="1" x14ac:dyDescent="0.25">
      <c r="A265" s="49">
        <v>1991</v>
      </c>
      <c r="B265" s="330" t="s">
        <v>9</v>
      </c>
      <c r="C265" s="331">
        <v>10563976768</v>
      </c>
      <c r="D265" s="331">
        <v>2822346837</v>
      </c>
      <c r="E265" s="331">
        <v>51422614</v>
      </c>
      <c r="F265" s="331">
        <v>119523</v>
      </c>
      <c r="G265" s="332">
        <f t="shared" si="8"/>
        <v>1.1314205116585884E-5</v>
      </c>
      <c r="H265" s="331">
        <v>12465</v>
      </c>
      <c r="I265" s="331">
        <v>0</v>
      </c>
      <c r="J265" s="331">
        <f t="shared" si="9"/>
        <v>12465</v>
      </c>
      <c r="K265" s="199">
        <v>1.82</v>
      </c>
      <c r="L265" s="199">
        <v>1.77</v>
      </c>
    </row>
    <row r="266" spans="1:12" ht="15" customHeight="1" x14ac:dyDescent="0.25">
      <c r="A266" s="49">
        <v>1992</v>
      </c>
      <c r="B266" s="330" t="s">
        <v>9</v>
      </c>
      <c r="C266" s="331">
        <v>11062341348</v>
      </c>
      <c r="D266" s="331">
        <v>2867103670</v>
      </c>
      <c r="E266" s="331">
        <v>83448345</v>
      </c>
      <c r="F266" s="331">
        <v>116808</v>
      </c>
      <c r="G266" s="332">
        <f t="shared" si="8"/>
        <v>1.0559066686286816E-5</v>
      </c>
      <c r="H266" s="331">
        <v>50</v>
      </c>
      <c r="I266" s="331">
        <v>19336</v>
      </c>
      <c r="J266" s="331">
        <f t="shared" si="9"/>
        <v>-19286</v>
      </c>
      <c r="K266" s="199">
        <v>2.91</v>
      </c>
      <c r="L266" s="199">
        <v>1.77</v>
      </c>
    </row>
    <row r="267" spans="1:12" ht="15" customHeight="1" x14ac:dyDescent="0.25">
      <c r="A267" s="49">
        <v>1993</v>
      </c>
      <c r="B267" s="330" t="s">
        <v>9</v>
      </c>
      <c r="C267" s="331">
        <v>11325579660</v>
      </c>
      <c r="D267" s="331">
        <v>3127990933</v>
      </c>
      <c r="E267" s="331">
        <v>121330792</v>
      </c>
      <c r="F267" s="331">
        <v>96321</v>
      </c>
      <c r="G267" s="332">
        <f t="shared" si="8"/>
        <v>8.5047302558993265E-6</v>
      </c>
      <c r="H267" s="331">
        <v>5937</v>
      </c>
      <c r="I267" s="331">
        <v>0</v>
      </c>
      <c r="J267" s="331">
        <f t="shared" si="9"/>
        <v>5937</v>
      </c>
      <c r="K267" s="199">
        <v>3.88</v>
      </c>
      <c r="L267" s="199">
        <v>1.77</v>
      </c>
    </row>
    <row r="268" spans="1:12" ht="15" customHeight="1" x14ac:dyDescent="0.25">
      <c r="A268" s="49">
        <v>1994</v>
      </c>
      <c r="B268" s="330" t="s">
        <v>9</v>
      </c>
      <c r="C268" s="331">
        <v>11666662977</v>
      </c>
      <c r="D268" s="331">
        <v>3314843686</v>
      </c>
      <c r="E268" s="331">
        <v>119790483</v>
      </c>
      <c r="F268" s="331">
        <v>90828</v>
      </c>
      <c r="G268" s="332">
        <f t="shared" si="8"/>
        <v>7.7852596050011017E-6</v>
      </c>
      <c r="H268" s="331">
        <v>41141</v>
      </c>
      <c r="I268" s="331">
        <v>0</v>
      </c>
      <c r="J268" s="331">
        <f t="shared" si="9"/>
        <v>41141</v>
      </c>
      <c r="K268" s="199">
        <v>3.61</v>
      </c>
      <c r="L268" s="199">
        <v>1.77</v>
      </c>
    </row>
    <row r="269" spans="1:12" ht="15" customHeight="1" x14ac:dyDescent="0.25">
      <c r="A269" s="49">
        <v>1995</v>
      </c>
      <c r="B269" s="330" t="s">
        <v>9</v>
      </c>
      <c r="C269" s="331">
        <v>12113767316</v>
      </c>
      <c r="D269" s="331">
        <v>3464607752</v>
      </c>
      <c r="E269" s="331">
        <v>111644737</v>
      </c>
      <c r="F269" s="331">
        <v>93846</v>
      </c>
      <c r="G269" s="332">
        <f t="shared" si="8"/>
        <v>7.7470532124260923E-6</v>
      </c>
      <c r="H269" s="331">
        <v>68636</v>
      </c>
      <c r="I269" s="331">
        <v>0</v>
      </c>
      <c r="J269" s="331">
        <f t="shared" si="9"/>
        <v>68636</v>
      </c>
      <c r="K269" s="199">
        <v>3.22</v>
      </c>
      <c r="L269" s="199">
        <v>1.65</v>
      </c>
    </row>
    <row r="270" spans="1:12" ht="15" customHeight="1" x14ac:dyDescent="0.25">
      <c r="A270" s="49">
        <v>1996</v>
      </c>
      <c r="B270" s="330" t="s">
        <v>9</v>
      </c>
      <c r="C270" s="331">
        <v>13327263661</v>
      </c>
      <c r="D270" s="331">
        <v>3545133440</v>
      </c>
      <c r="E270" s="331">
        <v>104776320</v>
      </c>
      <c r="F270" s="331">
        <v>86480</v>
      </c>
      <c r="G270" s="332">
        <f t="shared" si="8"/>
        <v>6.4889539368136918E-6</v>
      </c>
      <c r="H270" s="331">
        <v>99368</v>
      </c>
      <c r="I270" s="331">
        <v>0</v>
      </c>
      <c r="J270" s="331">
        <f t="shared" si="9"/>
        <v>99368</v>
      </c>
      <c r="K270" s="199">
        <v>2.95</v>
      </c>
      <c r="L270" s="199">
        <v>1.47</v>
      </c>
    </row>
    <row r="271" spans="1:12" ht="15" customHeight="1" x14ac:dyDescent="0.25">
      <c r="A271" s="49">
        <v>1997</v>
      </c>
      <c r="B271" s="330" t="s">
        <v>9</v>
      </c>
      <c r="C271" s="331">
        <v>13755872662</v>
      </c>
      <c r="D271" s="331">
        <v>3284383231</v>
      </c>
      <c r="E271" s="331">
        <v>68218675</v>
      </c>
      <c r="F271" s="331">
        <v>68692</v>
      </c>
      <c r="G271" s="332">
        <f t="shared" si="8"/>
        <v>4.9936490172490956E-6</v>
      </c>
      <c r="H271" s="331">
        <v>135627</v>
      </c>
      <c r="I271" s="331">
        <v>0</v>
      </c>
      <c r="J271" s="331">
        <f t="shared" si="9"/>
        <v>135627</v>
      </c>
      <c r="K271" s="199">
        <v>2.06</v>
      </c>
      <c r="L271" s="199">
        <v>1.33</v>
      </c>
    </row>
    <row r="272" spans="1:12" ht="15" customHeight="1" x14ac:dyDescent="0.25">
      <c r="A272" s="49">
        <v>1998</v>
      </c>
      <c r="B272" s="330" t="s">
        <v>9</v>
      </c>
      <c r="C272" s="331">
        <v>14765873043</v>
      </c>
      <c r="D272" s="331">
        <v>3442554942</v>
      </c>
      <c r="E272" s="331">
        <v>80284009</v>
      </c>
      <c r="F272" s="331">
        <v>58760</v>
      </c>
      <c r="G272" s="332">
        <f t="shared" si="8"/>
        <v>3.9794463780694718E-6</v>
      </c>
      <c r="H272" s="331">
        <v>174522</v>
      </c>
      <c r="I272" s="331">
        <v>0</v>
      </c>
      <c r="J272" s="331">
        <f t="shared" si="9"/>
        <v>174522</v>
      </c>
      <c r="K272" s="199">
        <v>2.33</v>
      </c>
      <c r="L272" s="199">
        <v>1.33</v>
      </c>
    </row>
    <row r="273" spans="1:12" ht="15" customHeight="1" x14ac:dyDescent="0.25">
      <c r="A273" s="49">
        <v>1999</v>
      </c>
      <c r="B273" s="330" t="s">
        <v>9</v>
      </c>
      <c r="C273" s="331">
        <v>16522220358</v>
      </c>
      <c r="D273" s="331">
        <v>3651615816</v>
      </c>
      <c r="E273" s="331">
        <v>82471905</v>
      </c>
      <c r="F273" s="331">
        <v>56366</v>
      </c>
      <c r="G273" s="332">
        <f t="shared" si="8"/>
        <v>3.4115269484774655E-6</v>
      </c>
      <c r="H273" s="331">
        <v>212766</v>
      </c>
      <c r="I273" s="331">
        <v>0</v>
      </c>
      <c r="J273" s="331">
        <f t="shared" si="9"/>
        <v>212766</v>
      </c>
      <c r="K273" s="199">
        <v>2.2599999999999998</v>
      </c>
      <c r="L273" s="199">
        <v>1.33</v>
      </c>
    </row>
    <row r="274" spans="1:12" ht="15" customHeight="1" x14ac:dyDescent="0.25">
      <c r="A274" s="49">
        <v>2000</v>
      </c>
      <c r="B274" s="330" t="s">
        <v>9</v>
      </c>
      <c r="C274" s="331">
        <v>18481645092</v>
      </c>
      <c r="D274" s="331">
        <v>3893744461</v>
      </c>
      <c r="E274" s="331">
        <v>88096773</v>
      </c>
      <c r="F274" s="331">
        <v>63708</v>
      </c>
      <c r="G274" s="332">
        <f t="shared" si="8"/>
        <v>3.4470957364924601E-6</v>
      </c>
      <c r="H274" s="331">
        <v>259088</v>
      </c>
      <c r="I274" s="331">
        <v>0</v>
      </c>
      <c r="J274" s="331">
        <f t="shared" si="9"/>
        <v>259088</v>
      </c>
      <c r="K274" s="199">
        <v>2.2599999999999998</v>
      </c>
      <c r="L274" s="199">
        <v>1.33</v>
      </c>
    </row>
    <row r="275" spans="1:12" ht="15" customHeight="1" x14ac:dyDescent="0.25">
      <c r="A275" s="49">
        <v>2001</v>
      </c>
      <c r="B275" s="330" t="s">
        <v>9</v>
      </c>
      <c r="C275" s="331">
        <v>19494701731</v>
      </c>
      <c r="D275" s="331">
        <v>3878055598</v>
      </c>
      <c r="E275" s="331">
        <v>85539728</v>
      </c>
      <c r="F275" s="331">
        <v>89442</v>
      </c>
      <c r="G275" s="332">
        <f t="shared" si="8"/>
        <v>4.5880158226669097E-6</v>
      </c>
      <c r="H275" s="331">
        <v>278267</v>
      </c>
      <c r="I275" s="331">
        <v>0</v>
      </c>
      <c r="J275" s="331">
        <f t="shared" si="9"/>
        <v>278267</v>
      </c>
      <c r="K275" s="199">
        <v>2.21</v>
      </c>
      <c r="L275" s="199">
        <v>1.33</v>
      </c>
    </row>
    <row r="276" spans="1:12" ht="15" customHeight="1" x14ac:dyDescent="0.25">
      <c r="A276" s="49">
        <v>2002</v>
      </c>
      <c r="B276" s="330" t="s">
        <v>9</v>
      </c>
      <c r="C276" s="331">
        <v>19977134283</v>
      </c>
      <c r="D276" s="331">
        <v>3824635893</v>
      </c>
      <c r="E276" s="331">
        <v>82756740</v>
      </c>
      <c r="F276" s="331">
        <v>124756</v>
      </c>
      <c r="G276" s="332">
        <f t="shared" si="8"/>
        <v>6.2449397512517086E-6</v>
      </c>
      <c r="H276" s="331">
        <v>289870</v>
      </c>
      <c r="I276" s="331">
        <v>0</v>
      </c>
      <c r="J276" s="331">
        <f t="shared" si="9"/>
        <v>289870</v>
      </c>
      <c r="K276" s="199">
        <v>2.17</v>
      </c>
      <c r="L276" s="199">
        <v>1.33</v>
      </c>
    </row>
    <row r="277" spans="1:12" ht="15" customHeight="1" x14ac:dyDescent="0.25">
      <c r="A277" s="49">
        <v>2003</v>
      </c>
      <c r="B277" s="330" t="s">
        <v>9</v>
      </c>
      <c r="C277" s="331">
        <v>20626966821</v>
      </c>
      <c r="D277" s="331">
        <v>3836863296</v>
      </c>
      <c r="E277" s="331">
        <v>80393409</v>
      </c>
      <c r="F277" s="331">
        <v>105263</v>
      </c>
      <c r="G277" s="332">
        <f t="shared" si="8"/>
        <v>5.103173962195612E-6</v>
      </c>
      <c r="H277" s="331">
        <v>287080</v>
      </c>
      <c r="I277" s="331">
        <v>0</v>
      </c>
      <c r="J277" s="331">
        <f t="shared" si="9"/>
        <v>287080</v>
      </c>
      <c r="K277" s="199">
        <v>2.1</v>
      </c>
      <c r="L277" s="199">
        <v>1.33</v>
      </c>
    </row>
    <row r="278" spans="1:12" ht="15" customHeight="1" x14ac:dyDescent="0.25">
      <c r="A278" s="49">
        <v>2004</v>
      </c>
      <c r="B278" s="330" t="s">
        <v>9</v>
      </c>
      <c r="C278" s="331">
        <v>22248908204</v>
      </c>
      <c r="D278" s="331">
        <v>3962899648</v>
      </c>
      <c r="E278" s="331">
        <v>95896982</v>
      </c>
      <c r="F278" s="331">
        <v>84538</v>
      </c>
      <c r="G278" s="332">
        <f t="shared" si="8"/>
        <v>3.7996471208776623E-6</v>
      </c>
      <c r="H278" s="331">
        <v>320254</v>
      </c>
      <c r="I278" s="331">
        <v>0</v>
      </c>
      <c r="J278" s="331">
        <f t="shared" si="9"/>
        <v>320254</v>
      </c>
      <c r="K278" s="199">
        <v>2.42</v>
      </c>
      <c r="L278" s="199">
        <v>1.33</v>
      </c>
    </row>
    <row r="279" spans="1:12" ht="15" customHeight="1" x14ac:dyDescent="0.25">
      <c r="A279" s="49">
        <v>2005</v>
      </c>
      <c r="B279" s="330" t="s">
        <v>9</v>
      </c>
      <c r="C279" s="331">
        <v>23526349378</v>
      </c>
      <c r="D279" s="331">
        <v>4067562882</v>
      </c>
      <c r="E279" s="331">
        <v>97330538</v>
      </c>
      <c r="F279" s="331">
        <v>81582</v>
      </c>
      <c r="G279" s="332">
        <f t="shared" si="8"/>
        <v>3.467686324351244E-6</v>
      </c>
      <c r="H279" s="331">
        <v>355227</v>
      </c>
      <c r="I279" s="331">
        <v>0</v>
      </c>
      <c r="J279" s="331">
        <f t="shared" si="9"/>
        <v>355227</v>
      </c>
      <c r="K279" s="199">
        <v>2.39</v>
      </c>
      <c r="L279" s="199">
        <v>1.33</v>
      </c>
    </row>
    <row r="280" spans="1:12" ht="15" customHeight="1" x14ac:dyDescent="0.25">
      <c r="A280" s="49">
        <v>2006</v>
      </c>
      <c r="B280" s="330" t="s">
        <v>9</v>
      </c>
      <c r="C280" s="331">
        <v>25348241862</v>
      </c>
      <c r="D280" s="331">
        <v>4191063324</v>
      </c>
      <c r="E280" s="331">
        <v>85740046</v>
      </c>
      <c r="F280" s="331">
        <v>87170</v>
      </c>
      <c r="G280" s="332">
        <f t="shared" si="8"/>
        <v>3.438897280315054E-6</v>
      </c>
      <c r="H280" s="331">
        <v>376861</v>
      </c>
      <c r="I280" s="331">
        <v>0</v>
      </c>
      <c r="J280" s="331">
        <f t="shared" si="9"/>
        <v>376861</v>
      </c>
      <c r="K280" s="199">
        <v>2.0499999999999998</v>
      </c>
      <c r="L280" s="199">
        <v>1.33</v>
      </c>
    </row>
    <row r="281" spans="1:12" x14ac:dyDescent="0.25">
      <c r="A281" s="49">
        <v>2007</v>
      </c>
      <c r="B281" s="330" t="s">
        <v>9</v>
      </c>
      <c r="C281" s="331">
        <v>27345906371</v>
      </c>
      <c r="D281" s="331">
        <v>4309023966</v>
      </c>
      <c r="E281" s="331">
        <v>87586887</v>
      </c>
      <c r="F281" s="331">
        <v>84971</v>
      </c>
      <c r="G281" s="332">
        <f t="shared" si="8"/>
        <v>3.1072658132886284E-6</v>
      </c>
      <c r="H281" s="331">
        <v>400275</v>
      </c>
      <c r="I281" s="331">
        <v>0</v>
      </c>
      <c r="J281" s="331">
        <f t="shared" si="9"/>
        <v>400275</v>
      </c>
      <c r="K281" s="199">
        <v>2.0299999999999998</v>
      </c>
      <c r="L281" s="199">
        <v>1.33</v>
      </c>
    </row>
    <row r="282" spans="1:12" ht="15" customHeight="1" x14ac:dyDescent="0.25">
      <c r="A282" s="49">
        <v>2008</v>
      </c>
      <c r="B282" s="330" t="s">
        <v>9</v>
      </c>
      <c r="C282" s="331">
        <v>28329978039</v>
      </c>
      <c r="D282" s="331">
        <v>4304021162</v>
      </c>
      <c r="E282" s="331">
        <v>87568388</v>
      </c>
      <c r="F282" s="331">
        <v>104226</v>
      </c>
      <c r="G282" s="332">
        <f t="shared" si="8"/>
        <v>3.6790003810281459E-6</v>
      </c>
      <c r="H282" s="331">
        <v>411777</v>
      </c>
      <c r="I282" s="331">
        <v>0</v>
      </c>
      <c r="J282" s="331">
        <f t="shared" si="9"/>
        <v>411777</v>
      </c>
      <c r="K282" s="199">
        <v>2</v>
      </c>
      <c r="L282" s="199">
        <v>1.33</v>
      </c>
    </row>
    <row r="283" spans="1:12" ht="15" customHeight="1" x14ac:dyDescent="0.25">
      <c r="A283" s="49">
        <v>2009</v>
      </c>
      <c r="B283" s="330" t="s">
        <v>9</v>
      </c>
      <c r="C283" s="331">
        <v>27601435632</v>
      </c>
      <c r="D283" s="331">
        <v>4136608958</v>
      </c>
      <c r="E283" s="331">
        <v>85566527</v>
      </c>
      <c r="F283" s="331">
        <v>201556</v>
      </c>
      <c r="G283" s="332">
        <f t="shared" si="8"/>
        <v>7.3023737854535377E-6</v>
      </c>
      <c r="H283" s="331">
        <v>329696</v>
      </c>
      <c r="I283" s="331">
        <v>0</v>
      </c>
      <c r="J283" s="331">
        <f t="shared" si="9"/>
        <v>329696</v>
      </c>
      <c r="K283" s="199">
        <v>2.1</v>
      </c>
      <c r="L283" s="199">
        <v>1.01</v>
      </c>
    </row>
    <row r="284" spans="1:12" ht="15" customHeight="1" x14ac:dyDescent="0.25">
      <c r="A284" s="49">
        <v>2010</v>
      </c>
      <c r="B284" s="330" t="s">
        <v>9</v>
      </c>
      <c r="C284" s="331">
        <v>28491571475</v>
      </c>
      <c r="D284" s="331">
        <v>4229104416</v>
      </c>
      <c r="E284" s="331">
        <v>105102560</v>
      </c>
      <c r="F284" s="331">
        <v>170406</v>
      </c>
      <c r="G284" s="332">
        <f t="shared" si="8"/>
        <v>5.98092668035258E-6</v>
      </c>
      <c r="H284" s="331">
        <v>300732</v>
      </c>
      <c r="I284" s="331">
        <v>0</v>
      </c>
      <c r="J284" s="331">
        <f t="shared" si="9"/>
        <v>300732</v>
      </c>
      <c r="K284" s="199">
        <v>2.5</v>
      </c>
      <c r="L284" s="199">
        <v>1.01</v>
      </c>
    </row>
    <row r="285" spans="1:12" ht="15" customHeight="1" x14ac:dyDescent="0.25">
      <c r="A285" s="49">
        <v>2011</v>
      </c>
      <c r="B285" s="330" t="s">
        <v>9</v>
      </c>
      <c r="C285" s="331">
        <v>29942769775</v>
      </c>
      <c r="D285" s="331">
        <v>4340585657</v>
      </c>
      <c r="E285" s="331">
        <v>120514093</v>
      </c>
      <c r="F285" s="331">
        <v>148255</v>
      </c>
      <c r="G285" s="332">
        <f t="shared" si="8"/>
        <v>4.9512787599155893E-6</v>
      </c>
      <c r="H285" s="331">
        <v>293878</v>
      </c>
      <c r="I285" s="331">
        <v>0</v>
      </c>
      <c r="J285" s="331">
        <f t="shared" si="9"/>
        <v>293878</v>
      </c>
      <c r="K285" s="199">
        <v>2.8</v>
      </c>
      <c r="L285" s="199">
        <v>1.01</v>
      </c>
    </row>
    <row r="286" spans="1:12" ht="15" customHeight="1" x14ac:dyDescent="0.25">
      <c r="A286" s="49">
        <v>2012</v>
      </c>
      <c r="B286" s="330" t="s">
        <v>9</v>
      </c>
      <c r="C286" s="331">
        <v>31401743777</v>
      </c>
      <c r="D286" s="331">
        <v>4435883380</v>
      </c>
      <c r="E286" s="331">
        <v>124825714</v>
      </c>
      <c r="F286" s="331">
        <v>138809</v>
      </c>
      <c r="G286" s="332">
        <f t="shared" si="8"/>
        <v>4.4204233046978026E-6</v>
      </c>
      <c r="H286" s="331">
        <v>292702</v>
      </c>
      <c r="I286" s="331">
        <v>0</v>
      </c>
      <c r="J286" s="331">
        <f t="shared" si="9"/>
        <v>292702</v>
      </c>
      <c r="K286" s="199">
        <v>2.81</v>
      </c>
      <c r="L286" s="199">
        <v>1.01</v>
      </c>
    </row>
    <row r="287" spans="1:12" ht="15" customHeight="1" x14ac:dyDescent="0.25">
      <c r="A287" s="49">
        <v>2013</v>
      </c>
      <c r="B287" s="330" t="s">
        <v>9</v>
      </c>
      <c r="C287" s="331">
        <v>32393839156</v>
      </c>
      <c r="D287" s="331">
        <v>4580408053</v>
      </c>
      <c r="E287" s="331">
        <v>128261306</v>
      </c>
      <c r="F287" s="331">
        <v>143687</v>
      </c>
      <c r="G287" s="332">
        <f t="shared" si="8"/>
        <v>4.4356273829737228E-6</v>
      </c>
      <c r="H287" s="331">
        <v>293274</v>
      </c>
      <c r="I287" s="331">
        <v>0</v>
      </c>
      <c r="J287" s="331">
        <f t="shared" si="9"/>
        <v>293274</v>
      </c>
      <c r="K287" s="199">
        <v>2.8</v>
      </c>
      <c r="L287" s="199">
        <v>1.01</v>
      </c>
    </row>
    <row r="288" spans="1:12" ht="15" customHeight="1" x14ac:dyDescent="0.25">
      <c r="A288" s="49">
        <v>2014</v>
      </c>
      <c r="B288" s="330" t="s">
        <v>9</v>
      </c>
      <c r="C288" s="331">
        <v>34065614099</v>
      </c>
      <c r="D288" s="331">
        <v>4824335266</v>
      </c>
      <c r="E288" s="331">
        <v>134585368</v>
      </c>
      <c r="F288" s="331">
        <v>128123</v>
      </c>
      <c r="G288" s="332">
        <f t="shared" si="8"/>
        <v>3.7610653260984677E-6</v>
      </c>
      <c r="H288" s="331">
        <v>305513</v>
      </c>
      <c r="I288" s="331">
        <v>0</v>
      </c>
      <c r="J288" s="331">
        <f t="shared" si="9"/>
        <v>305513</v>
      </c>
      <c r="K288" s="333">
        <v>2.7897183877021203</v>
      </c>
      <c r="L288" s="199">
        <v>1.01</v>
      </c>
    </row>
    <row r="289" spans="1:12" ht="15" customHeight="1" x14ac:dyDescent="0.25">
      <c r="A289" s="49">
        <v>2015</v>
      </c>
      <c r="B289" s="330" t="s">
        <v>9</v>
      </c>
      <c r="C289" s="334">
        <v>36016523000</v>
      </c>
      <c r="D289" s="334">
        <v>5115194000</v>
      </c>
      <c r="E289" s="334">
        <v>159705000</v>
      </c>
      <c r="F289" s="331">
        <v>101892</v>
      </c>
      <c r="G289" s="332">
        <f t="shared" si="8"/>
        <v>2.8290348849054641E-6</v>
      </c>
      <c r="H289" s="331">
        <v>351252</v>
      </c>
      <c r="I289" s="199">
        <v>0</v>
      </c>
      <c r="J289" s="331">
        <f t="shared" si="9"/>
        <v>351252</v>
      </c>
      <c r="K289" s="199">
        <v>2.8</v>
      </c>
      <c r="L289" s="199">
        <v>1.01</v>
      </c>
    </row>
    <row r="290" spans="1:12" ht="15" customHeight="1" x14ac:dyDescent="0.25">
      <c r="A290" s="49">
        <v>1980</v>
      </c>
      <c r="B290" s="330" t="s">
        <v>10</v>
      </c>
      <c r="C290" s="331">
        <v>3148969785</v>
      </c>
      <c r="D290" s="331">
        <v>1201222158</v>
      </c>
      <c r="E290" s="331">
        <v>35690977</v>
      </c>
      <c r="F290" s="331">
        <v>42425</v>
      </c>
      <c r="G290" s="332">
        <f t="shared" si="8"/>
        <v>1.3472660233861215E-5</v>
      </c>
      <c r="H290" s="331">
        <v>6914</v>
      </c>
      <c r="I290" s="331">
        <v>43767</v>
      </c>
      <c r="J290" s="331">
        <f t="shared" si="9"/>
        <v>-36853</v>
      </c>
      <c r="K290" s="199">
        <v>2.97</v>
      </c>
      <c r="L290" s="199">
        <v>2.0299999999999998</v>
      </c>
    </row>
    <row r="291" spans="1:12" ht="15" customHeight="1" x14ac:dyDescent="0.25">
      <c r="A291" s="49">
        <v>1981</v>
      </c>
      <c r="B291" s="330" t="s">
        <v>10</v>
      </c>
      <c r="C291" s="331">
        <v>3378032782</v>
      </c>
      <c r="D291" s="331">
        <v>1209379269</v>
      </c>
      <c r="E291" s="331">
        <v>34918768</v>
      </c>
      <c r="F291" s="331">
        <v>45188</v>
      </c>
      <c r="G291" s="332">
        <f t="shared" si="8"/>
        <v>1.3377016422335005E-5</v>
      </c>
      <c r="H291" s="331">
        <v>2592</v>
      </c>
      <c r="I291" s="331">
        <v>46351</v>
      </c>
      <c r="J291" s="331">
        <f t="shared" si="9"/>
        <v>-43759</v>
      </c>
      <c r="K291" s="199">
        <v>2.89</v>
      </c>
      <c r="L291" s="199">
        <v>2.0299999999999998</v>
      </c>
    </row>
    <row r="292" spans="1:12" ht="15" customHeight="1" x14ac:dyDescent="0.25">
      <c r="A292" s="49">
        <v>1982</v>
      </c>
      <c r="B292" s="330" t="s">
        <v>10</v>
      </c>
      <c r="C292" s="331">
        <v>3635367294</v>
      </c>
      <c r="D292" s="331">
        <v>1324789227</v>
      </c>
      <c r="E292" s="331">
        <v>45298691</v>
      </c>
      <c r="F292" s="331">
        <v>41375</v>
      </c>
      <c r="G292" s="332">
        <f t="shared" si="8"/>
        <v>1.1381243394109712E-5</v>
      </c>
      <c r="H292" s="331">
        <v>19152</v>
      </c>
      <c r="I292" s="331">
        <v>53947</v>
      </c>
      <c r="J292" s="331">
        <f t="shared" si="9"/>
        <v>-34795</v>
      </c>
      <c r="K292" s="199">
        <v>3.42</v>
      </c>
      <c r="L292" s="199">
        <v>2.0299999999999998</v>
      </c>
    </row>
    <row r="293" spans="1:12" ht="15" customHeight="1" x14ac:dyDescent="0.25">
      <c r="A293" s="49">
        <v>1983</v>
      </c>
      <c r="B293" s="330" t="s">
        <v>10</v>
      </c>
      <c r="C293" s="331">
        <v>3872290511</v>
      </c>
      <c r="D293" s="331">
        <v>1459866644</v>
      </c>
      <c r="E293" s="331">
        <v>51578894</v>
      </c>
      <c r="F293" s="331">
        <v>30081</v>
      </c>
      <c r="G293" s="332">
        <f t="shared" si="8"/>
        <v>7.7682704628046445E-6</v>
      </c>
      <c r="H293" s="331">
        <v>36865</v>
      </c>
      <c r="I293" s="331">
        <v>44202</v>
      </c>
      <c r="J293" s="331">
        <f t="shared" si="9"/>
        <v>-7337</v>
      </c>
      <c r="K293" s="199">
        <v>3.53</v>
      </c>
      <c r="L293" s="199">
        <v>2.0299999999999998</v>
      </c>
    </row>
    <row r="294" spans="1:12" ht="15" customHeight="1" x14ac:dyDescent="0.25">
      <c r="A294" s="49">
        <v>1984</v>
      </c>
      <c r="B294" s="330" t="s">
        <v>10</v>
      </c>
      <c r="C294" s="331">
        <v>4164154021</v>
      </c>
      <c r="D294" s="331">
        <v>1670904392</v>
      </c>
      <c r="E294" s="331">
        <v>59257642</v>
      </c>
      <c r="F294" s="331">
        <v>29915</v>
      </c>
      <c r="G294" s="332">
        <f t="shared" si="8"/>
        <v>7.1839321622441017E-6</v>
      </c>
      <c r="H294" s="331">
        <v>30079</v>
      </c>
      <c r="I294" s="331">
        <v>0</v>
      </c>
      <c r="J294" s="331">
        <f t="shared" si="9"/>
        <v>30079</v>
      </c>
      <c r="K294" s="199">
        <v>3.55</v>
      </c>
      <c r="L294" s="199">
        <v>2.0299999999999998</v>
      </c>
    </row>
    <row r="295" spans="1:12" ht="15" customHeight="1" x14ac:dyDescent="0.25">
      <c r="A295" s="49">
        <v>1985</v>
      </c>
      <c r="B295" s="330" t="s">
        <v>10</v>
      </c>
      <c r="C295" s="331">
        <v>4527496724</v>
      </c>
      <c r="D295" s="331">
        <v>1784572367</v>
      </c>
      <c r="E295" s="331">
        <v>57372500</v>
      </c>
      <c r="F295" s="331">
        <v>22923</v>
      </c>
      <c r="G295" s="332">
        <f t="shared" si="8"/>
        <v>5.0630627469008416E-6</v>
      </c>
      <c r="H295" s="331">
        <v>70215</v>
      </c>
      <c r="I295" s="331">
        <v>0</v>
      </c>
      <c r="J295" s="331">
        <f t="shared" si="9"/>
        <v>70215</v>
      </c>
      <c r="K295" s="199">
        <v>3.21</v>
      </c>
      <c r="L295" s="199">
        <v>2.0299999999999998</v>
      </c>
    </row>
    <row r="296" spans="1:12" ht="15" customHeight="1" x14ac:dyDescent="0.25">
      <c r="A296" s="49">
        <v>1986</v>
      </c>
      <c r="B296" s="330" t="s">
        <v>10</v>
      </c>
      <c r="C296" s="331">
        <v>4772538116</v>
      </c>
      <c r="D296" s="331">
        <v>1918272502</v>
      </c>
      <c r="E296" s="331">
        <v>58729002</v>
      </c>
      <c r="F296" s="331">
        <v>44139</v>
      </c>
      <c r="G296" s="332">
        <f t="shared" si="8"/>
        <v>9.2485379743795846E-6</v>
      </c>
      <c r="H296" s="331">
        <v>93966</v>
      </c>
      <c r="I296" s="331">
        <v>0</v>
      </c>
      <c r="J296" s="331">
        <f t="shared" si="9"/>
        <v>93966</v>
      </c>
      <c r="K296" s="199">
        <v>3.06</v>
      </c>
      <c r="L296" s="199">
        <v>2.0299999999999998</v>
      </c>
    </row>
    <row r="297" spans="1:12" ht="15" customHeight="1" x14ac:dyDescent="0.25">
      <c r="A297" s="49">
        <v>1987</v>
      </c>
      <c r="B297" s="330" t="s">
        <v>10</v>
      </c>
      <c r="C297" s="331">
        <v>5364215386</v>
      </c>
      <c r="D297" s="331">
        <v>2098333490</v>
      </c>
      <c r="E297" s="331">
        <v>61699142</v>
      </c>
      <c r="F297" s="331">
        <v>24753</v>
      </c>
      <c r="G297" s="332">
        <f t="shared" si="8"/>
        <v>4.6144679545498024E-6</v>
      </c>
      <c r="H297" s="331">
        <v>140592</v>
      </c>
      <c r="I297" s="331">
        <v>0</v>
      </c>
      <c r="J297" s="331">
        <f t="shared" si="9"/>
        <v>140592</v>
      </c>
      <c r="K297" s="199">
        <v>2.94</v>
      </c>
      <c r="L297" s="199">
        <v>2.0299999999999998</v>
      </c>
    </row>
    <row r="298" spans="1:12" ht="15" customHeight="1" x14ac:dyDescent="0.25">
      <c r="A298" s="49">
        <v>1988</v>
      </c>
      <c r="B298" s="330" t="s">
        <v>10</v>
      </c>
      <c r="C298" s="331">
        <v>5902484624</v>
      </c>
      <c r="D298" s="331">
        <v>2250254011</v>
      </c>
      <c r="E298" s="331">
        <v>56564075</v>
      </c>
      <c r="F298" s="331">
        <v>41248</v>
      </c>
      <c r="G298" s="332">
        <f t="shared" si="8"/>
        <v>6.9882435326103442E-6</v>
      </c>
      <c r="H298" s="331">
        <v>169741</v>
      </c>
      <c r="I298" s="331">
        <v>0</v>
      </c>
      <c r="J298" s="331">
        <f t="shared" si="9"/>
        <v>169741</v>
      </c>
      <c r="K298" s="199">
        <v>2.5099999999999998</v>
      </c>
      <c r="L298" s="199">
        <v>2.0299999999999998</v>
      </c>
    </row>
    <row r="299" spans="1:12" ht="15" customHeight="1" x14ac:dyDescent="0.25">
      <c r="A299" s="49">
        <v>1989</v>
      </c>
      <c r="B299" s="330" t="s">
        <v>10</v>
      </c>
      <c r="C299" s="331">
        <v>6473360228</v>
      </c>
      <c r="D299" s="331">
        <v>2343165804</v>
      </c>
      <c r="E299" s="331">
        <v>53864107</v>
      </c>
      <c r="F299" s="331">
        <v>34180</v>
      </c>
      <c r="G299" s="332">
        <f t="shared" si="8"/>
        <v>5.2801016467702747E-6</v>
      </c>
      <c r="H299" s="331">
        <v>207322</v>
      </c>
      <c r="I299" s="331">
        <v>0</v>
      </c>
      <c r="J299" s="331">
        <f t="shared" si="9"/>
        <v>207322</v>
      </c>
      <c r="K299" s="199">
        <v>2.2999999999999998</v>
      </c>
      <c r="L299" s="199">
        <v>2.0299999999999998</v>
      </c>
    </row>
    <row r="300" spans="1:12" ht="15" customHeight="1" x14ac:dyDescent="0.25">
      <c r="A300" s="49">
        <v>1990</v>
      </c>
      <c r="B300" s="330" t="s">
        <v>10</v>
      </c>
      <c r="C300" s="331">
        <v>6828861966</v>
      </c>
      <c r="D300" s="331">
        <v>2372083831</v>
      </c>
      <c r="E300" s="331">
        <v>46787982</v>
      </c>
      <c r="F300" s="331">
        <v>43027</v>
      </c>
      <c r="G300" s="332">
        <f t="shared" si="8"/>
        <v>6.3007570242634483E-6</v>
      </c>
      <c r="H300" s="331">
        <v>232197</v>
      </c>
      <c r="I300" s="331">
        <v>0</v>
      </c>
      <c r="J300" s="331">
        <f t="shared" si="9"/>
        <v>232197</v>
      </c>
      <c r="K300" s="199">
        <v>1.97</v>
      </c>
      <c r="L300" s="199">
        <v>2.0299999999999998</v>
      </c>
    </row>
    <row r="301" spans="1:12" ht="15" customHeight="1" x14ac:dyDescent="0.25">
      <c r="A301" s="49">
        <v>1991</v>
      </c>
      <c r="B301" s="330" t="s">
        <v>10</v>
      </c>
      <c r="C301" s="331">
        <v>6993370642</v>
      </c>
      <c r="D301" s="331">
        <v>2331182456</v>
      </c>
      <c r="E301" s="331">
        <v>46849181</v>
      </c>
      <c r="F301" s="331">
        <v>73501</v>
      </c>
      <c r="G301" s="332">
        <f t="shared" si="8"/>
        <v>1.0510096456003054E-5</v>
      </c>
      <c r="H301" s="331">
        <v>223685</v>
      </c>
      <c r="I301" s="331">
        <v>0</v>
      </c>
      <c r="J301" s="331">
        <f t="shared" si="9"/>
        <v>223685</v>
      </c>
      <c r="K301" s="199">
        <v>2.0099999999999998</v>
      </c>
      <c r="L301" s="199">
        <v>2.0299999999999998</v>
      </c>
    </row>
    <row r="302" spans="1:12" ht="15" customHeight="1" x14ac:dyDescent="0.25">
      <c r="A302" s="49">
        <v>1992</v>
      </c>
      <c r="B302" s="330" t="s">
        <v>10</v>
      </c>
      <c r="C302" s="331">
        <v>7183683486</v>
      </c>
      <c r="D302" s="331">
        <v>2321652671</v>
      </c>
      <c r="E302" s="331">
        <v>51082954</v>
      </c>
      <c r="F302" s="331">
        <v>70298</v>
      </c>
      <c r="G302" s="332">
        <f t="shared" si="8"/>
        <v>9.7857874914730069E-6</v>
      </c>
      <c r="H302" s="331">
        <v>218719</v>
      </c>
      <c r="I302" s="331">
        <v>0</v>
      </c>
      <c r="J302" s="331">
        <f t="shared" si="9"/>
        <v>218719</v>
      </c>
      <c r="K302" s="199">
        <v>2.2000000000000002</v>
      </c>
      <c r="L302" s="199">
        <v>2.0299999999999998</v>
      </c>
    </row>
    <row r="303" spans="1:12" ht="15" customHeight="1" x14ac:dyDescent="0.25">
      <c r="A303" s="49">
        <v>1993</v>
      </c>
      <c r="B303" s="330" t="s">
        <v>10</v>
      </c>
      <c r="C303" s="331">
        <v>7397931961</v>
      </c>
      <c r="D303" s="331">
        <v>2364861730</v>
      </c>
      <c r="E303" s="331">
        <v>56838603</v>
      </c>
      <c r="F303" s="331">
        <v>63296</v>
      </c>
      <c r="G303" s="332">
        <f t="shared" si="8"/>
        <v>8.5559045870765348E-6</v>
      </c>
      <c r="H303" s="331">
        <v>225943</v>
      </c>
      <c r="I303" s="331">
        <v>0</v>
      </c>
      <c r="J303" s="331">
        <f t="shared" si="9"/>
        <v>225943</v>
      </c>
      <c r="K303" s="199">
        <v>2.4</v>
      </c>
      <c r="L303" s="199">
        <v>2.0299999999999998</v>
      </c>
    </row>
    <row r="304" spans="1:12" ht="15" customHeight="1" x14ac:dyDescent="0.25">
      <c r="A304" s="49">
        <v>1994</v>
      </c>
      <c r="B304" s="330" t="s">
        <v>10</v>
      </c>
      <c r="C304" s="331">
        <v>7760402821</v>
      </c>
      <c r="D304" s="331">
        <v>2434711712</v>
      </c>
      <c r="E304" s="331">
        <v>64396616</v>
      </c>
      <c r="F304" s="331">
        <v>58674</v>
      </c>
      <c r="G304" s="332">
        <f t="shared" si="8"/>
        <v>7.5606899993935249E-6</v>
      </c>
      <c r="H304" s="331">
        <v>244013</v>
      </c>
      <c r="I304" s="331">
        <v>0</v>
      </c>
      <c r="J304" s="331">
        <f t="shared" si="9"/>
        <v>244013</v>
      </c>
      <c r="K304" s="199">
        <v>2.64</v>
      </c>
      <c r="L304" s="199">
        <v>2.0299999999999998</v>
      </c>
    </row>
    <row r="305" spans="1:12" ht="15" customHeight="1" x14ac:dyDescent="0.25">
      <c r="A305" s="49">
        <v>1995</v>
      </c>
      <c r="B305" s="330" t="s">
        <v>10</v>
      </c>
      <c r="C305" s="331">
        <v>8385086136</v>
      </c>
      <c r="D305" s="331">
        <v>2563830274</v>
      </c>
      <c r="E305" s="331">
        <v>72223206</v>
      </c>
      <c r="F305" s="331">
        <v>60232</v>
      </c>
      <c r="G305" s="332">
        <f t="shared" si="8"/>
        <v>7.1832297275282276E-6</v>
      </c>
      <c r="H305" s="331">
        <v>271807</v>
      </c>
      <c r="I305" s="331">
        <v>0</v>
      </c>
      <c r="J305" s="331">
        <f t="shared" si="9"/>
        <v>271807</v>
      </c>
      <c r="K305" s="199">
        <v>2.82</v>
      </c>
      <c r="L305" s="199">
        <v>1.63</v>
      </c>
    </row>
    <row r="306" spans="1:12" ht="15" customHeight="1" x14ac:dyDescent="0.25">
      <c r="A306" s="49">
        <v>1996</v>
      </c>
      <c r="B306" s="330" t="s">
        <v>10</v>
      </c>
      <c r="C306" s="331">
        <v>9120216031</v>
      </c>
      <c r="D306" s="331">
        <v>2734130197</v>
      </c>
      <c r="E306" s="331">
        <v>66094705</v>
      </c>
      <c r="F306" s="331">
        <v>96445</v>
      </c>
      <c r="G306" s="332">
        <f t="shared" si="8"/>
        <v>1.0574859155987025E-5</v>
      </c>
      <c r="H306" s="331">
        <v>258468</v>
      </c>
      <c r="I306" s="331">
        <v>0</v>
      </c>
      <c r="J306" s="331">
        <f t="shared" si="9"/>
        <v>258468</v>
      </c>
      <c r="K306" s="199">
        <v>2.42</v>
      </c>
      <c r="L306" s="199">
        <v>1.45</v>
      </c>
    </row>
    <row r="307" spans="1:12" ht="15" customHeight="1" x14ac:dyDescent="0.25">
      <c r="A307" s="49">
        <v>1997</v>
      </c>
      <c r="B307" s="330" t="s">
        <v>10</v>
      </c>
      <c r="C307" s="331">
        <v>9939319193</v>
      </c>
      <c r="D307" s="331">
        <v>2841603801</v>
      </c>
      <c r="E307" s="331">
        <v>67703566</v>
      </c>
      <c r="F307" s="331">
        <v>64287</v>
      </c>
      <c r="G307" s="332">
        <f t="shared" si="8"/>
        <v>6.4679480306131666E-6</v>
      </c>
      <c r="H307" s="331">
        <v>279173</v>
      </c>
      <c r="I307" s="331">
        <v>0</v>
      </c>
      <c r="J307" s="331">
        <f t="shared" si="9"/>
        <v>279173</v>
      </c>
      <c r="K307" s="199">
        <v>2.38</v>
      </c>
      <c r="L307" s="199">
        <v>1.32</v>
      </c>
    </row>
    <row r="308" spans="1:12" ht="15" customHeight="1" x14ac:dyDescent="0.25">
      <c r="A308" s="49">
        <v>1998</v>
      </c>
      <c r="B308" s="330" t="s">
        <v>10</v>
      </c>
      <c r="C308" s="331">
        <v>10832914536</v>
      </c>
      <c r="D308" s="331">
        <v>2964729218</v>
      </c>
      <c r="E308" s="331">
        <v>60415995</v>
      </c>
      <c r="F308" s="331">
        <v>62322</v>
      </c>
      <c r="G308" s="332">
        <f t="shared" si="8"/>
        <v>5.7530224015791131E-6</v>
      </c>
      <c r="H308" s="331">
        <v>293291</v>
      </c>
      <c r="I308" s="331">
        <v>0</v>
      </c>
      <c r="J308" s="331">
        <f t="shared" si="9"/>
        <v>293291</v>
      </c>
      <c r="K308" s="199">
        <v>2.04</v>
      </c>
      <c r="L308" s="199">
        <v>1.32</v>
      </c>
    </row>
    <row r="309" spans="1:12" ht="15" customHeight="1" x14ac:dyDescent="0.25">
      <c r="A309" s="49">
        <v>1999</v>
      </c>
      <c r="B309" s="330" t="s">
        <v>10</v>
      </c>
      <c r="C309" s="331">
        <v>11647036256</v>
      </c>
      <c r="D309" s="331">
        <v>3117857217</v>
      </c>
      <c r="E309" s="331">
        <v>64296635</v>
      </c>
      <c r="F309" s="331">
        <v>52978</v>
      </c>
      <c r="G309" s="332">
        <f t="shared" si="8"/>
        <v>4.5486249751054264E-6</v>
      </c>
      <c r="H309" s="331">
        <v>320040</v>
      </c>
      <c r="I309" s="331">
        <v>0</v>
      </c>
      <c r="J309" s="331">
        <f t="shared" si="9"/>
        <v>320040</v>
      </c>
      <c r="K309" s="199">
        <v>2.06</v>
      </c>
      <c r="L309" s="199">
        <v>1.32</v>
      </c>
    </row>
    <row r="310" spans="1:12" ht="15" customHeight="1" x14ac:dyDescent="0.25">
      <c r="A310" s="49">
        <v>2000</v>
      </c>
      <c r="B310" s="330" t="s">
        <v>10</v>
      </c>
      <c r="C310" s="331">
        <v>12260776215</v>
      </c>
      <c r="D310" s="331">
        <v>3183295760</v>
      </c>
      <c r="E310" s="331">
        <v>58890843</v>
      </c>
      <c r="F310" s="331">
        <v>71004</v>
      </c>
      <c r="G310" s="332">
        <f t="shared" si="8"/>
        <v>5.791150474888592E-6</v>
      </c>
      <c r="H310" s="331">
        <v>329857</v>
      </c>
      <c r="I310" s="331">
        <v>0</v>
      </c>
      <c r="J310" s="331">
        <f t="shared" si="9"/>
        <v>329857</v>
      </c>
      <c r="K310" s="199">
        <v>1.85</v>
      </c>
      <c r="L310" s="199">
        <v>1.32</v>
      </c>
    </row>
    <row r="311" spans="1:12" ht="15" customHeight="1" x14ac:dyDescent="0.25">
      <c r="A311" s="49">
        <v>2001</v>
      </c>
      <c r="B311" s="330" t="s">
        <v>10</v>
      </c>
      <c r="C311" s="331">
        <v>12914868693</v>
      </c>
      <c r="D311" s="331">
        <v>3144961782</v>
      </c>
      <c r="E311" s="331">
        <v>52671318</v>
      </c>
      <c r="F311" s="331">
        <v>90282</v>
      </c>
      <c r="G311" s="332">
        <f t="shared" si="8"/>
        <v>6.9905472634757668E-6</v>
      </c>
      <c r="H311" s="331">
        <v>312480</v>
      </c>
      <c r="I311" s="331">
        <v>0</v>
      </c>
      <c r="J311" s="331">
        <f t="shared" si="9"/>
        <v>312480</v>
      </c>
      <c r="K311" s="199">
        <v>1.67</v>
      </c>
      <c r="L311" s="199">
        <v>1.21</v>
      </c>
    </row>
    <row r="312" spans="1:12" ht="15" customHeight="1" x14ac:dyDescent="0.25">
      <c r="A312" s="49">
        <v>2002</v>
      </c>
      <c r="B312" s="330" t="s">
        <v>10</v>
      </c>
      <c r="C312" s="331">
        <v>12909385366</v>
      </c>
      <c r="D312" s="331">
        <v>3075113921</v>
      </c>
      <c r="E312" s="331">
        <v>49750627</v>
      </c>
      <c r="F312" s="331">
        <v>112788</v>
      </c>
      <c r="G312" s="332">
        <f t="shared" si="8"/>
        <v>8.7368993025070411E-6</v>
      </c>
      <c r="H312" s="331">
        <v>294466</v>
      </c>
      <c r="I312" s="331">
        <v>0</v>
      </c>
      <c r="J312" s="331">
        <f t="shared" si="9"/>
        <v>294466</v>
      </c>
      <c r="K312" s="199">
        <v>1.62</v>
      </c>
      <c r="L312" s="199">
        <v>1.21</v>
      </c>
    </row>
    <row r="313" spans="1:12" ht="15" customHeight="1" x14ac:dyDescent="0.25">
      <c r="A313" s="49">
        <v>2003</v>
      </c>
      <c r="B313" s="330" t="s">
        <v>10</v>
      </c>
      <c r="C313" s="331">
        <v>13270133675</v>
      </c>
      <c r="D313" s="331">
        <v>3069977783</v>
      </c>
      <c r="E313" s="331">
        <v>54993282</v>
      </c>
      <c r="F313" s="331">
        <v>123709</v>
      </c>
      <c r="G313" s="332">
        <f t="shared" si="8"/>
        <v>9.3223627605996963E-6</v>
      </c>
      <c r="H313" s="331">
        <v>239422</v>
      </c>
      <c r="I313" s="331">
        <v>0</v>
      </c>
      <c r="J313" s="331">
        <f t="shared" si="9"/>
        <v>239422</v>
      </c>
      <c r="K313" s="199">
        <v>1.79</v>
      </c>
      <c r="L313" s="199">
        <v>1.21</v>
      </c>
    </row>
    <row r="314" spans="1:12" ht="15" customHeight="1" x14ac:dyDescent="0.25">
      <c r="A314" s="49">
        <v>2004</v>
      </c>
      <c r="B314" s="330" t="s">
        <v>10</v>
      </c>
      <c r="C314" s="331">
        <v>14067068427</v>
      </c>
      <c r="D314" s="331">
        <v>3197893116</v>
      </c>
      <c r="E314" s="331">
        <v>66355151</v>
      </c>
      <c r="F314" s="331">
        <v>100414</v>
      </c>
      <c r="G314" s="332">
        <f t="shared" si="8"/>
        <v>7.1382321427588801E-6</v>
      </c>
      <c r="H314" s="331">
        <v>212894</v>
      </c>
      <c r="I314" s="331">
        <v>0</v>
      </c>
      <c r="J314" s="331">
        <f t="shared" si="9"/>
        <v>212894</v>
      </c>
      <c r="K314" s="199">
        <v>2.0699999999999998</v>
      </c>
      <c r="L314" s="199">
        <v>1.21</v>
      </c>
    </row>
    <row r="315" spans="1:12" ht="15" customHeight="1" x14ac:dyDescent="0.25">
      <c r="A315" s="49">
        <v>2005</v>
      </c>
      <c r="B315" s="330" t="s">
        <v>10</v>
      </c>
      <c r="C315" s="331">
        <v>15019939218</v>
      </c>
      <c r="D315" s="331">
        <v>3249849215</v>
      </c>
      <c r="E315" s="331">
        <v>74424406</v>
      </c>
      <c r="F315" s="331">
        <v>94035</v>
      </c>
      <c r="G315" s="332">
        <f t="shared" si="8"/>
        <v>6.2606777987029266E-6</v>
      </c>
      <c r="H315" s="331">
        <v>201780</v>
      </c>
      <c r="I315" s="331">
        <v>0</v>
      </c>
      <c r="J315" s="331">
        <f t="shared" si="9"/>
        <v>201780</v>
      </c>
      <c r="K315" s="199">
        <v>2.2799999999999998</v>
      </c>
      <c r="L315" s="199">
        <v>1.21</v>
      </c>
    </row>
    <row r="316" spans="1:12" x14ac:dyDescent="0.25">
      <c r="A316" s="49">
        <v>2006</v>
      </c>
      <c r="B316" s="330" t="s">
        <v>10</v>
      </c>
      <c r="C316" s="331">
        <v>15673328645</v>
      </c>
      <c r="D316" s="331">
        <v>3345744273</v>
      </c>
      <c r="E316" s="331">
        <v>81553656</v>
      </c>
      <c r="F316" s="331">
        <v>91078</v>
      </c>
      <c r="G316" s="332">
        <f t="shared" si="8"/>
        <v>5.8110183269241338E-6</v>
      </c>
      <c r="H316" s="331">
        <v>192477</v>
      </c>
      <c r="I316" s="331">
        <v>0</v>
      </c>
      <c r="J316" s="331">
        <f t="shared" si="9"/>
        <v>192477</v>
      </c>
      <c r="K316" s="199">
        <v>2.44</v>
      </c>
      <c r="L316" s="199">
        <v>1.21</v>
      </c>
    </row>
    <row r="317" spans="1:12" ht="15" customHeight="1" x14ac:dyDescent="0.25">
      <c r="A317" s="49">
        <v>2007</v>
      </c>
      <c r="B317" s="330" t="s">
        <v>10</v>
      </c>
      <c r="C317" s="331">
        <v>15922348463</v>
      </c>
      <c r="D317" s="331">
        <v>3321267212</v>
      </c>
      <c r="E317" s="331">
        <v>72846385</v>
      </c>
      <c r="F317" s="331">
        <v>102050</v>
      </c>
      <c r="G317" s="332">
        <f t="shared" si="8"/>
        <v>6.40923041203008E-6</v>
      </c>
      <c r="H317" s="331">
        <v>174156</v>
      </c>
      <c r="I317" s="331">
        <v>0</v>
      </c>
      <c r="J317" s="331">
        <f t="shared" si="9"/>
        <v>174156</v>
      </c>
      <c r="K317" s="199">
        <v>2.19</v>
      </c>
      <c r="L317" s="199">
        <v>1.21</v>
      </c>
    </row>
    <row r="318" spans="1:12" ht="15" customHeight="1" x14ac:dyDescent="0.25">
      <c r="A318" s="49">
        <v>2008</v>
      </c>
      <c r="B318" s="330" t="s">
        <v>10</v>
      </c>
      <c r="C318" s="331">
        <v>15829315621</v>
      </c>
      <c r="D318" s="331">
        <v>3844145667</v>
      </c>
      <c r="E318" s="331">
        <v>75239351</v>
      </c>
      <c r="F318" s="331">
        <v>125001</v>
      </c>
      <c r="G318" s="332">
        <f t="shared" si="8"/>
        <v>7.8968038159632826E-6</v>
      </c>
      <c r="H318" s="331">
        <v>131380</v>
      </c>
      <c r="I318" s="331">
        <v>0</v>
      </c>
      <c r="J318" s="331">
        <f t="shared" si="9"/>
        <v>131380</v>
      </c>
      <c r="K318" s="199">
        <v>2</v>
      </c>
      <c r="L318" s="199">
        <v>1.21</v>
      </c>
    </row>
    <row r="319" spans="1:12" ht="15" customHeight="1" x14ac:dyDescent="0.25">
      <c r="A319" s="49">
        <v>2009</v>
      </c>
      <c r="B319" s="330" t="s">
        <v>10</v>
      </c>
      <c r="C319" s="331">
        <v>14778218224</v>
      </c>
      <c r="D319" s="331">
        <v>3561901452</v>
      </c>
      <c r="E319" s="331">
        <v>72574353</v>
      </c>
      <c r="F319" s="331">
        <v>200231</v>
      </c>
      <c r="G319" s="332">
        <f t="shared" si="8"/>
        <v>1.3549062340602233E-5</v>
      </c>
      <c r="H319" s="331">
        <v>38828</v>
      </c>
      <c r="I319" s="331">
        <v>0</v>
      </c>
      <c r="J319" s="331">
        <f t="shared" si="9"/>
        <v>38828</v>
      </c>
      <c r="K319" s="199">
        <v>2</v>
      </c>
      <c r="L319" s="199">
        <v>1.1499999999999999</v>
      </c>
    </row>
    <row r="320" spans="1:12" ht="15" customHeight="1" x14ac:dyDescent="0.25">
      <c r="A320" s="49">
        <v>2010</v>
      </c>
      <c r="B320" s="330" t="s">
        <v>10</v>
      </c>
      <c r="C320" s="331">
        <v>15019395013</v>
      </c>
      <c r="D320" s="331">
        <v>3527707368</v>
      </c>
      <c r="E320" s="331">
        <v>83184037</v>
      </c>
      <c r="F320" s="331">
        <v>146740</v>
      </c>
      <c r="G320" s="332">
        <f t="shared" si="8"/>
        <v>9.7700340042318318E-6</v>
      </c>
      <c r="H320" s="331">
        <v>1304</v>
      </c>
      <c r="I320" s="331">
        <v>32403</v>
      </c>
      <c r="J320" s="331">
        <f t="shared" si="9"/>
        <v>-31099</v>
      </c>
      <c r="K320" s="199">
        <v>2.4</v>
      </c>
      <c r="L320" s="199">
        <v>1.1499999999999999</v>
      </c>
    </row>
    <row r="321" spans="1:12" ht="15" customHeight="1" x14ac:dyDescent="0.25">
      <c r="A321" s="49">
        <v>2011</v>
      </c>
      <c r="B321" s="330" t="s">
        <v>10</v>
      </c>
      <c r="C321" s="331">
        <v>15733234412</v>
      </c>
      <c r="D321" s="331">
        <v>3602754010</v>
      </c>
      <c r="E321" s="331">
        <v>98820808</v>
      </c>
      <c r="F321" s="331">
        <v>120052</v>
      </c>
      <c r="G321" s="332">
        <f t="shared" si="8"/>
        <v>7.6304717044344253E-6</v>
      </c>
      <c r="H321" s="331">
        <v>4482</v>
      </c>
      <c r="I321" s="331">
        <v>62523</v>
      </c>
      <c r="J321" s="331">
        <f t="shared" si="9"/>
        <v>-58041</v>
      </c>
      <c r="K321" s="199">
        <v>2.7</v>
      </c>
      <c r="L321" s="199">
        <v>1.1499999999999999</v>
      </c>
    </row>
    <row r="322" spans="1:12" ht="15" customHeight="1" x14ac:dyDescent="0.25">
      <c r="A322" s="49">
        <v>2012</v>
      </c>
      <c r="B322" s="330" t="s">
        <v>10</v>
      </c>
      <c r="C322" s="331">
        <v>16094193415</v>
      </c>
      <c r="D322" s="331">
        <v>3645005414</v>
      </c>
      <c r="E322" s="331">
        <v>105615513</v>
      </c>
      <c r="F322" s="331">
        <v>112875</v>
      </c>
      <c r="G322" s="332">
        <f t="shared" ref="G322:G385" si="10">F322/C322</f>
        <v>7.013398999840465E-6</v>
      </c>
      <c r="H322" s="331">
        <v>6397</v>
      </c>
      <c r="I322" s="331">
        <v>76412</v>
      </c>
      <c r="J322" s="331">
        <f t="shared" ref="J322:J385" si="11">H322-I322</f>
        <v>-70015</v>
      </c>
      <c r="K322" s="199">
        <v>2.9</v>
      </c>
      <c r="L322" s="199">
        <v>1.1499999999999999</v>
      </c>
    </row>
    <row r="323" spans="1:12" ht="15" customHeight="1" x14ac:dyDescent="0.25">
      <c r="A323" s="49">
        <v>2013</v>
      </c>
      <c r="B323" s="330" t="s">
        <v>10</v>
      </c>
      <c r="C323" s="331">
        <v>16612344561</v>
      </c>
      <c r="D323" s="331">
        <v>3715528360</v>
      </c>
      <c r="E323" s="331">
        <v>101458579</v>
      </c>
      <c r="F323" s="331">
        <v>106871</v>
      </c>
      <c r="G323" s="332">
        <f t="shared" si="10"/>
        <v>6.433227989437198E-6</v>
      </c>
      <c r="H323" s="331">
        <v>24617</v>
      </c>
      <c r="I323" s="331">
        <v>71442</v>
      </c>
      <c r="J323" s="331">
        <f t="shared" si="11"/>
        <v>-46825</v>
      </c>
      <c r="K323" s="199">
        <v>2.73</v>
      </c>
      <c r="L323" s="199">
        <v>1.1499999999999999</v>
      </c>
    </row>
    <row r="324" spans="1:12" ht="15" customHeight="1" x14ac:dyDescent="0.25">
      <c r="A324" s="49">
        <v>2014</v>
      </c>
      <c r="B324" s="330" t="s">
        <v>10</v>
      </c>
      <c r="C324" s="331">
        <v>17400038710</v>
      </c>
      <c r="D324" s="331">
        <v>5826187685</v>
      </c>
      <c r="E324" s="331">
        <v>135327981</v>
      </c>
      <c r="F324" s="331">
        <v>78593</v>
      </c>
      <c r="G324" s="332">
        <f t="shared" si="10"/>
        <v>4.516829031813114E-6</v>
      </c>
      <c r="H324" s="331">
        <v>82232</v>
      </c>
      <c r="I324" s="331">
        <v>0</v>
      </c>
      <c r="J324" s="331">
        <f t="shared" si="11"/>
        <v>82232</v>
      </c>
      <c r="K324" s="333">
        <v>2.3227535451426156</v>
      </c>
      <c r="L324" s="199">
        <v>1.1499999999999999</v>
      </c>
    </row>
    <row r="325" spans="1:12" ht="15" customHeight="1" x14ac:dyDescent="0.25">
      <c r="A325" s="49">
        <v>2015</v>
      </c>
      <c r="B325" s="330" t="s">
        <v>10</v>
      </c>
      <c r="C325" s="334">
        <v>18076362000</v>
      </c>
      <c r="D325" s="334">
        <v>6101781000</v>
      </c>
      <c r="E325" s="334">
        <v>127412000</v>
      </c>
      <c r="F325" s="331">
        <v>70494</v>
      </c>
      <c r="G325" s="332">
        <f t="shared" si="10"/>
        <v>3.8997891279229749E-6</v>
      </c>
      <c r="H325" s="331">
        <v>72368</v>
      </c>
      <c r="I325" s="199">
        <v>0</v>
      </c>
      <c r="J325" s="331">
        <f t="shared" si="11"/>
        <v>72368</v>
      </c>
      <c r="K325" s="199">
        <v>2</v>
      </c>
      <c r="L325" s="199">
        <v>1.1599999999999999</v>
      </c>
    </row>
    <row r="326" spans="1:12" ht="15" customHeight="1" x14ac:dyDescent="0.25">
      <c r="A326" s="49">
        <v>1980</v>
      </c>
      <c r="B326" s="330" t="s">
        <v>11</v>
      </c>
      <c r="C326" s="331">
        <v>36483954445</v>
      </c>
      <c r="D326" s="331">
        <v>18297955890</v>
      </c>
      <c r="E326" s="331">
        <v>217442746</v>
      </c>
      <c r="F326" s="331">
        <v>153073</v>
      </c>
      <c r="G326" s="332">
        <f t="shared" si="10"/>
        <v>4.1956252365888511E-6</v>
      </c>
      <c r="H326" s="331">
        <v>812740</v>
      </c>
      <c r="I326" s="331">
        <v>0</v>
      </c>
      <c r="J326" s="331">
        <f t="shared" si="11"/>
        <v>812740</v>
      </c>
      <c r="K326" s="199">
        <v>1.19</v>
      </c>
      <c r="L326" s="199">
        <v>1.41</v>
      </c>
    </row>
    <row r="327" spans="1:12" ht="15" customHeight="1" x14ac:dyDescent="0.25">
      <c r="A327" s="49">
        <v>1981</v>
      </c>
      <c r="B327" s="330" t="s">
        <v>11</v>
      </c>
      <c r="C327" s="331">
        <v>41658855333</v>
      </c>
      <c r="D327" s="331">
        <v>19575578563</v>
      </c>
      <c r="E327" s="331">
        <v>189132893</v>
      </c>
      <c r="F327" s="331">
        <v>170265</v>
      </c>
      <c r="G327" s="332">
        <f t="shared" si="10"/>
        <v>4.0871262217597423E-6</v>
      </c>
      <c r="H327" s="331">
        <v>919390</v>
      </c>
      <c r="I327" s="331">
        <v>0</v>
      </c>
      <c r="J327" s="331">
        <f t="shared" si="11"/>
        <v>919390</v>
      </c>
      <c r="K327" s="199">
        <v>0.97</v>
      </c>
      <c r="L327" s="199">
        <v>1.32</v>
      </c>
    </row>
    <row r="328" spans="1:12" ht="15" customHeight="1" x14ac:dyDescent="0.25">
      <c r="A328" s="49">
        <v>1982</v>
      </c>
      <c r="B328" s="330" t="s">
        <v>11</v>
      </c>
      <c r="C328" s="331">
        <v>44565566359</v>
      </c>
      <c r="D328" s="331">
        <v>19633264871</v>
      </c>
      <c r="E328" s="331">
        <v>188370405</v>
      </c>
      <c r="F328" s="331">
        <v>335289</v>
      </c>
      <c r="G328" s="332">
        <f t="shared" si="10"/>
        <v>7.5234991360608732E-6</v>
      </c>
      <c r="H328" s="331">
        <v>865621</v>
      </c>
      <c r="I328" s="331">
        <v>0</v>
      </c>
      <c r="J328" s="331">
        <f t="shared" si="11"/>
        <v>865621</v>
      </c>
      <c r="K328" s="199">
        <v>0.96</v>
      </c>
      <c r="L328" s="199">
        <v>1.32</v>
      </c>
    </row>
    <row r="329" spans="1:12" ht="15" customHeight="1" x14ac:dyDescent="0.25">
      <c r="A329" s="49">
        <v>1983</v>
      </c>
      <c r="B329" s="330" t="s">
        <v>11</v>
      </c>
      <c r="C329" s="331">
        <v>48878542122</v>
      </c>
      <c r="D329" s="331">
        <v>22882794911</v>
      </c>
      <c r="E329" s="331">
        <v>270745967</v>
      </c>
      <c r="F329" s="331">
        <v>296816</v>
      </c>
      <c r="G329" s="332">
        <f t="shared" si="10"/>
        <v>6.0725215424623829E-6</v>
      </c>
      <c r="H329" s="331">
        <v>888142</v>
      </c>
      <c r="I329" s="331">
        <v>0</v>
      </c>
      <c r="J329" s="331">
        <f t="shared" si="11"/>
        <v>888142</v>
      </c>
      <c r="K329" s="199">
        <v>1.18</v>
      </c>
      <c r="L329" s="199">
        <v>1.32</v>
      </c>
    </row>
    <row r="330" spans="1:12" ht="15" customHeight="1" x14ac:dyDescent="0.25">
      <c r="A330" s="49">
        <v>1984</v>
      </c>
      <c r="B330" s="330" t="s">
        <v>11</v>
      </c>
      <c r="C330" s="331">
        <v>55222562041</v>
      </c>
      <c r="D330" s="331">
        <v>25182950765</v>
      </c>
      <c r="E330" s="331">
        <v>392104424</v>
      </c>
      <c r="F330" s="331">
        <v>221579</v>
      </c>
      <c r="G330" s="332">
        <f t="shared" si="10"/>
        <v>4.0124722905012743E-6</v>
      </c>
      <c r="H330" s="331">
        <v>1144319</v>
      </c>
      <c r="I330" s="331">
        <v>0</v>
      </c>
      <c r="J330" s="331">
        <f t="shared" si="11"/>
        <v>1144319</v>
      </c>
      <c r="K330" s="199">
        <v>1.56</v>
      </c>
      <c r="L330" s="199">
        <v>1.32</v>
      </c>
    </row>
    <row r="331" spans="1:12" ht="15" customHeight="1" x14ac:dyDescent="0.25">
      <c r="A331" s="49">
        <v>1985</v>
      </c>
      <c r="B331" s="330" t="s">
        <v>11</v>
      </c>
      <c r="C331" s="331">
        <v>60743403120</v>
      </c>
      <c r="D331" s="331">
        <v>26740319118</v>
      </c>
      <c r="E331" s="331">
        <v>358074611</v>
      </c>
      <c r="F331" s="331">
        <v>246475</v>
      </c>
      <c r="G331" s="332">
        <f t="shared" si="10"/>
        <v>4.0576422679691311E-6</v>
      </c>
      <c r="H331" s="331">
        <v>1385177</v>
      </c>
      <c r="I331" s="331">
        <v>0</v>
      </c>
      <c r="J331" s="331">
        <f t="shared" si="11"/>
        <v>1385177</v>
      </c>
      <c r="K331" s="199">
        <v>1.34</v>
      </c>
      <c r="L331" s="199">
        <v>1.32</v>
      </c>
    </row>
    <row r="332" spans="1:12" ht="15" customHeight="1" x14ac:dyDescent="0.25">
      <c r="A332" s="49">
        <v>1986</v>
      </c>
      <c r="B332" s="330" t="s">
        <v>11</v>
      </c>
      <c r="C332" s="331">
        <v>66058651153</v>
      </c>
      <c r="D332" s="331">
        <v>28272421768</v>
      </c>
      <c r="E332" s="331">
        <v>310876108</v>
      </c>
      <c r="F332" s="331">
        <v>290645</v>
      </c>
      <c r="G332" s="332">
        <f t="shared" si="10"/>
        <v>4.3998022201033175E-6</v>
      </c>
      <c r="H332" s="331">
        <v>1556921</v>
      </c>
      <c r="I332" s="331">
        <v>0</v>
      </c>
      <c r="J332" s="331">
        <f t="shared" si="11"/>
        <v>1556921</v>
      </c>
      <c r="K332" s="199">
        <v>1.1000000000000001</v>
      </c>
      <c r="L332" s="199">
        <v>1.32</v>
      </c>
    </row>
    <row r="333" spans="1:12" ht="15" customHeight="1" x14ac:dyDescent="0.25">
      <c r="A333" s="49">
        <v>1987</v>
      </c>
      <c r="B333" s="330" t="s">
        <v>11</v>
      </c>
      <c r="C333" s="331">
        <v>73317799314</v>
      </c>
      <c r="D333" s="331">
        <v>30186814175</v>
      </c>
      <c r="E333" s="331">
        <v>302492314</v>
      </c>
      <c r="F333" s="331">
        <v>261224</v>
      </c>
      <c r="G333" s="332">
        <f t="shared" si="10"/>
        <v>3.5629001749118155E-6</v>
      </c>
      <c r="H333" s="331">
        <v>1745391</v>
      </c>
      <c r="I333" s="331">
        <v>0</v>
      </c>
      <c r="J333" s="331">
        <f t="shared" si="11"/>
        <v>1745391</v>
      </c>
      <c r="K333" s="199">
        <v>1</v>
      </c>
      <c r="L333" s="199">
        <v>1.32</v>
      </c>
    </row>
    <row r="334" spans="1:12" ht="15" customHeight="1" x14ac:dyDescent="0.25">
      <c r="A334" s="49">
        <v>1988</v>
      </c>
      <c r="B334" s="330" t="s">
        <v>11</v>
      </c>
      <c r="C334" s="331">
        <v>80173272261</v>
      </c>
      <c r="D334" s="331">
        <v>31886434662</v>
      </c>
      <c r="E334" s="331">
        <v>291939157</v>
      </c>
      <c r="F334" s="331">
        <v>277145</v>
      </c>
      <c r="G334" s="332">
        <f t="shared" si="10"/>
        <v>3.4568253506950371E-6</v>
      </c>
      <c r="H334" s="331">
        <v>1910071</v>
      </c>
      <c r="I334" s="331">
        <v>0</v>
      </c>
      <c r="J334" s="331">
        <f t="shared" si="11"/>
        <v>1910071</v>
      </c>
      <c r="K334" s="199">
        <v>0.92</v>
      </c>
      <c r="L334" s="199">
        <v>1.32</v>
      </c>
    </row>
    <row r="335" spans="1:12" ht="15" customHeight="1" x14ac:dyDescent="0.25">
      <c r="A335" s="49">
        <v>1989</v>
      </c>
      <c r="B335" s="330" t="s">
        <v>11</v>
      </c>
      <c r="C335" s="331">
        <v>85088818548</v>
      </c>
      <c r="D335" s="331">
        <v>33180235307</v>
      </c>
      <c r="E335" s="331">
        <v>288520299</v>
      </c>
      <c r="F335" s="331">
        <v>278180</v>
      </c>
      <c r="G335" s="332">
        <f t="shared" si="10"/>
        <v>3.2692897227509874E-6</v>
      </c>
      <c r="H335" s="331">
        <v>2040608</v>
      </c>
      <c r="I335" s="331">
        <v>0</v>
      </c>
      <c r="J335" s="331">
        <f t="shared" si="11"/>
        <v>2040608</v>
      </c>
      <c r="K335" s="199">
        <v>0.87</v>
      </c>
      <c r="L335" s="199">
        <v>1.32</v>
      </c>
    </row>
    <row r="336" spans="1:12" ht="15" customHeight="1" x14ac:dyDescent="0.25">
      <c r="A336" s="49">
        <v>1990</v>
      </c>
      <c r="B336" s="330" t="s">
        <v>11</v>
      </c>
      <c r="C336" s="331">
        <v>90207247496</v>
      </c>
      <c r="D336" s="331">
        <v>33781473376</v>
      </c>
      <c r="E336" s="331">
        <v>246291707</v>
      </c>
      <c r="F336" s="331">
        <v>460325</v>
      </c>
      <c r="G336" s="332">
        <f t="shared" si="10"/>
        <v>5.102971355160924E-6</v>
      </c>
      <c r="H336" s="331">
        <v>2019400</v>
      </c>
      <c r="I336" s="331">
        <v>0</v>
      </c>
      <c r="J336" s="331">
        <f t="shared" si="11"/>
        <v>2019400</v>
      </c>
      <c r="K336" s="199">
        <v>0.73</v>
      </c>
      <c r="L336" s="199">
        <v>1.32</v>
      </c>
    </row>
    <row r="337" spans="1:12" ht="15" customHeight="1" x14ac:dyDescent="0.25">
      <c r="A337" s="49">
        <v>1991</v>
      </c>
      <c r="B337" s="330" t="s">
        <v>11</v>
      </c>
      <c r="C337" s="331">
        <v>91736793342</v>
      </c>
      <c r="D337" s="331">
        <v>32916259571</v>
      </c>
      <c r="E337" s="331">
        <v>312908006</v>
      </c>
      <c r="F337" s="331">
        <v>801433</v>
      </c>
      <c r="G337" s="332">
        <f t="shared" si="10"/>
        <v>8.7362220849840706E-6</v>
      </c>
      <c r="H337" s="331">
        <v>1691814</v>
      </c>
      <c r="I337" s="331">
        <v>0</v>
      </c>
      <c r="J337" s="331">
        <f t="shared" si="11"/>
        <v>1691814</v>
      </c>
      <c r="K337" s="199">
        <v>0.95</v>
      </c>
      <c r="L337" s="199">
        <v>1.33</v>
      </c>
    </row>
    <row r="338" spans="1:12" ht="15" customHeight="1" x14ac:dyDescent="0.25">
      <c r="A338" s="49">
        <v>1992</v>
      </c>
      <c r="B338" s="330" t="s">
        <v>11</v>
      </c>
      <c r="C338" s="331">
        <v>98246651998</v>
      </c>
      <c r="D338" s="331">
        <v>33708532383</v>
      </c>
      <c r="E338" s="331">
        <v>490520948</v>
      </c>
      <c r="F338" s="331">
        <v>824306</v>
      </c>
      <c r="G338" s="332">
        <f t="shared" si="10"/>
        <v>8.3901688580368155E-6</v>
      </c>
      <c r="H338" s="331">
        <v>1443603</v>
      </c>
      <c r="I338" s="331">
        <v>0</v>
      </c>
      <c r="J338" s="331">
        <f t="shared" si="11"/>
        <v>1443603</v>
      </c>
      <c r="K338" s="199">
        <v>1.46</v>
      </c>
      <c r="L338" s="199">
        <v>1.33</v>
      </c>
    </row>
    <row r="339" spans="1:12" ht="15" customHeight="1" x14ac:dyDescent="0.25">
      <c r="A339" s="49">
        <v>1993</v>
      </c>
      <c r="B339" s="330" t="s">
        <v>11</v>
      </c>
      <c r="C339" s="331">
        <v>104059798159</v>
      </c>
      <c r="D339" s="331">
        <v>35409001814</v>
      </c>
      <c r="E339" s="331">
        <v>635806318</v>
      </c>
      <c r="F339" s="331">
        <v>667012</v>
      </c>
      <c r="G339" s="332">
        <f t="shared" si="10"/>
        <v>6.4098913490186407E-6</v>
      </c>
      <c r="H339" s="331">
        <v>1505570</v>
      </c>
      <c r="I339" s="331">
        <v>0</v>
      </c>
      <c r="J339" s="331">
        <f t="shared" si="11"/>
        <v>1505570</v>
      </c>
      <c r="K339" s="199">
        <v>1.8</v>
      </c>
      <c r="L339" s="199">
        <v>1.33</v>
      </c>
    </row>
    <row r="340" spans="1:12" ht="15" customHeight="1" x14ac:dyDescent="0.25">
      <c r="A340" s="49">
        <v>1994</v>
      </c>
      <c r="B340" s="330" t="s">
        <v>11</v>
      </c>
      <c r="C340" s="331">
        <v>110294449185</v>
      </c>
      <c r="D340" s="331">
        <v>37189351441</v>
      </c>
      <c r="E340" s="331">
        <v>713046964</v>
      </c>
      <c r="F340" s="331">
        <v>683649</v>
      </c>
      <c r="G340" s="332">
        <f t="shared" si="10"/>
        <v>6.1983989679598128E-6</v>
      </c>
      <c r="H340" s="331">
        <v>1621614</v>
      </c>
      <c r="I340" s="331">
        <v>0</v>
      </c>
      <c r="J340" s="331">
        <f t="shared" si="11"/>
        <v>1621614</v>
      </c>
      <c r="K340" s="199">
        <v>1.92</v>
      </c>
      <c r="L340" s="199">
        <v>1.33</v>
      </c>
    </row>
    <row r="341" spans="1:12" ht="15" customHeight="1" x14ac:dyDescent="0.25">
      <c r="A341" s="49">
        <v>1995</v>
      </c>
      <c r="B341" s="330" t="s">
        <v>11</v>
      </c>
      <c r="C341" s="331">
        <v>118230889600</v>
      </c>
      <c r="D341" s="331">
        <v>38730193180</v>
      </c>
      <c r="E341" s="331">
        <v>686381231</v>
      </c>
      <c r="F341" s="331">
        <v>634534</v>
      </c>
      <c r="G341" s="332">
        <f t="shared" si="10"/>
        <v>5.3669054013444551E-6</v>
      </c>
      <c r="H341" s="331">
        <v>1806432</v>
      </c>
      <c r="I341" s="331">
        <v>0</v>
      </c>
      <c r="J341" s="331">
        <f t="shared" si="11"/>
        <v>1806432</v>
      </c>
      <c r="K341" s="199">
        <v>1.77</v>
      </c>
      <c r="L341" s="199">
        <v>0.99</v>
      </c>
    </row>
    <row r="342" spans="1:12" ht="15" customHeight="1" x14ac:dyDescent="0.25">
      <c r="A342" s="49">
        <v>1996</v>
      </c>
      <c r="B342" s="330" t="s">
        <v>11</v>
      </c>
      <c r="C342" s="331">
        <v>127078508066</v>
      </c>
      <c r="D342" s="331">
        <v>40589091201</v>
      </c>
      <c r="E342" s="331">
        <v>632462633</v>
      </c>
      <c r="F342" s="331">
        <v>639232</v>
      </c>
      <c r="G342" s="332">
        <f t="shared" si="10"/>
        <v>5.0302132888435072E-6</v>
      </c>
      <c r="H342" s="331">
        <v>1947557</v>
      </c>
      <c r="I342" s="331">
        <v>0</v>
      </c>
      <c r="J342" s="331">
        <f t="shared" si="11"/>
        <v>1947557</v>
      </c>
      <c r="K342" s="199">
        <v>1.56</v>
      </c>
      <c r="L342" s="199">
        <v>0.85</v>
      </c>
    </row>
    <row r="343" spans="1:12" ht="15" customHeight="1" x14ac:dyDescent="0.25">
      <c r="A343" s="49">
        <v>1997</v>
      </c>
      <c r="B343" s="330" t="s">
        <v>11</v>
      </c>
      <c r="C343" s="331">
        <v>136678758448</v>
      </c>
      <c r="D343" s="331">
        <v>42685744716</v>
      </c>
      <c r="E343" s="331">
        <v>612604963</v>
      </c>
      <c r="F343" s="331">
        <v>615201</v>
      </c>
      <c r="G343" s="332">
        <f t="shared" si="10"/>
        <v>4.5010724927974508E-6</v>
      </c>
      <c r="H343" s="331">
        <v>2090222</v>
      </c>
      <c r="I343" s="331">
        <v>0</v>
      </c>
      <c r="J343" s="331">
        <f t="shared" si="11"/>
        <v>2090222</v>
      </c>
      <c r="K343" s="199">
        <v>1.44</v>
      </c>
      <c r="L343" s="199">
        <v>0.82</v>
      </c>
    </row>
    <row r="344" spans="1:12" ht="15" customHeight="1" x14ac:dyDescent="0.25">
      <c r="A344" s="49">
        <v>1998</v>
      </c>
      <c r="B344" s="330" t="s">
        <v>11</v>
      </c>
      <c r="C344" s="331">
        <v>150879618816</v>
      </c>
      <c r="D344" s="331">
        <v>45057520408</v>
      </c>
      <c r="E344" s="331">
        <v>476128440</v>
      </c>
      <c r="F344" s="331">
        <v>638478</v>
      </c>
      <c r="G344" s="332">
        <f t="shared" si="10"/>
        <v>4.2317047525062588E-6</v>
      </c>
      <c r="H344" s="331">
        <v>2070622</v>
      </c>
      <c r="I344" s="331">
        <v>0</v>
      </c>
      <c r="J344" s="331">
        <f t="shared" si="11"/>
        <v>2070622</v>
      </c>
      <c r="K344" s="199">
        <v>1.06</v>
      </c>
      <c r="L344" s="199">
        <v>0.82</v>
      </c>
    </row>
    <row r="345" spans="1:12" ht="15" customHeight="1" x14ac:dyDescent="0.25">
      <c r="A345" s="49">
        <v>1999</v>
      </c>
      <c r="B345" s="330" t="s">
        <v>11</v>
      </c>
      <c r="C345" s="331">
        <v>160719161628</v>
      </c>
      <c r="D345" s="331">
        <v>47123858130</v>
      </c>
      <c r="E345" s="331">
        <v>577969569</v>
      </c>
      <c r="F345" s="331">
        <v>641625</v>
      </c>
      <c r="G345" s="332">
        <f t="shared" si="10"/>
        <v>3.9922122135324659E-6</v>
      </c>
      <c r="H345" s="331">
        <v>2113688</v>
      </c>
      <c r="I345" s="331">
        <v>0</v>
      </c>
      <c r="J345" s="331">
        <f t="shared" si="11"/>
        <v>2113688</v>
      </c>
      <c r="K345" s="199">
        <v>1.23</v>
      </c>
      <c r="L345" s="199">
        <v>0.82</v>
      </c>
    </row>
    <row r="346" spans="1:12" ht="15" customHeight="1" x14ac:dyDescent="0.25">
      <c r="A346" s="49">
        <v>2000</v>
      </c>
      <c r="B346" s="330" t="s">
        <v>11</v>
      </c>
      <c r="C346" s="331">
        <v>175751918303</v>
      </c>
      <c r="D346" s="331">
        <v>49985668171</v>
      </c>
      <c r="E346" s="331">
        <v>391314712</v>
      </c>
      <c r="F346" s="331">
        <v>634750</v>
      </c>
      <c r="G346" s="332">
        <f t="shared" si="10"/>
        <v>3.6116248751588458E-6</v>
      </c>
      <c r="H346" s="331">
        <v>2029755</v>
      </c>
      <c r="I346" s="331">
        <v>0</v>
      </c>
      <c r="J346" s="331">
        <f t="shared" si="11"/>
        <v>2029755</v>
      </c>
      <c r="K346" s="199">
        <v>0.78</v>
      </c>
      <c r="L346" s="199">
        <v>0.82</v>
      </c>
    </row>
    <row r="347" spans="1:12" ht="15" customHeight="1" x14ac:dyDescent="0.25">
      <c r="A347" s="49">
        <v>2001</v>
      </c>
      <c r="B347" s="330" t="s">
        <v>11</v>
      </c>
      <c r="C347" s="331">
        <v>183480911929</v>
      </c>
      <c r="D347" s="331">
        <v>49796871881</v>
      </c>
      <c r="E347" s="331">
        <v>558241819</v>
      </c>
      <c r="F347" s="331">
        <v>924470</v>
      </c>
      <c r="G347" s="332">
        <f t="shared" si="10"/>
        <v>5.0385077678147475E-6</v>
      </c>
      <c r="H347" s="331">
        <v>1761823</v>
      </c>
      <c r="I347" s="331">
        <v>0</v>
      </c>
      <c r="J347" s="331">
        <f t="shared" si="11"/>
        <v>1761823</v>
      </c>
      <c r="K347" s="199">
        <v>1.1200000000000001</v>
      </c>
      <c r="L347" s="199">
        <v>0.82</v>
      </c>
    </row>
    <row r="348" spans="1:12" ht="15" customHeight="1" x14ac:dyDescent="0.25">
      <c r="A348" s="49">
        <v>2002</v>
      </c>
      <c r="B348" s="330" t="s">
        <v>11</v>
      </c>
      <c r="C348" s="331">
        <v>187865710832</v>
      </c>
      <c r="D348" s="331">
        <v>49779546185</v>
      </c>
      <c r="E348" s="331">
        <v>559048411</v>
      </c>
      <c r="F348" s="331">
        <v>1177430</v>
      </c>
      <c r="G348" s="332">
        <f t="shared" si="10"/>
        <v>6.2674023630258079E-6</v>
      </c>
      <c r="H348" s="331">
        <v>1713366</v>
      </c>
      <c r="I348" s="331">
        <v>0</v>
      </c>
      <c r="J348" s="331">
        <f t="shared" si="11"/>
        <v>1713366</v>
      </c>
      <c r="K348" s="199">
        <v>1.1200000000000001</v>
      </c>
      <c r="L348" s="199">
        <v>0.82</v>
      </c>
    </row>
    <row r="349" spans="1:12" ht="15" customHeight="1" x14ac:dyDescent="0.25">
      <c r="A349" s="49">
        <v>2003</v>
      </c>
      <c r="B349" s="330" t="s">
        <v>11</v>
      </c>
      <c r="C349" s="331">
        <v>196048344353</v>
      </c>
      <c r="D349" s="331">
        <v>50658830562</v>
      </c>
      <c r="E349" s="331">
        <v>681228243</v>
      </c>
      <c r="F349" s="331">
        <v>1108828</v>
      </c>
      <c r="G349" s="332">
        <f t="shared" si="10"/>
        <v>5.6558906613537661E-6</v>
      </c>
      <c r="H349" s="331">
        <v>1373524</v>
      </c>
      <c r="I349" s="331">
        <v>0</v>
      </c>
      <c r="J349" s="331">
        <f t="shared" si="11"/>
        <v>1373524</v>
      </c>
      <c r="K349" s="199">
        <v>1.34</v>
      </c>
      <c r="L349" s="199">
        <v>0.82</v>
      </c>
    </row>
    <row r="350" spans="1:12" ht="15" customHeight="1" x14ac:dyDescent="0.25">
      <c r="A350" s="49">
        <v>2004</v>
      </c>
      <c r="B350" s="330" t="s">
        <v>11</v>
      </c>
      <c r="C350" s="331">
        <v>212131436662</v>
      </c>
      <c r="D350" s="331">
        <v>53463308025</v>
      </c>
      <c r="E350" s="331">
        <v>978571712</v>
      </c>
      <c r="F350" s="331">
        <v>968696</v>
      </c>
      <c r="G350" s="332">
        <f t="shared" si="10"/>
        <v>4.5664896030637527E-6</v>
      </c>
      <c r="H350" s="331">
        <v>1421452</v>
      </c>
      <c r="I350" s="331">
        <v>0</v>
      </c>
      <c r="J350" s="331">
        <f t="shared" si="11"/>
        <v>1421452</v>
      </c>
      <c r="K350" s="199">
        <v>1.83</v>
      </c>
      <c r="L350" s="199">
        <v>0.82</v>
      </c>
    </row>
    <row r="351" spans="1:12" x14ac:dyDescent="0.25">
      <c r="A351" s="49">
        <v>2005</v>
      </c>
      <c r="B351" s="330" t="s">
        <v>11</v>
      </c>
      <c r="C351" s="331">
        <v>232005991073</v>
      </c>
      <c r="D351" s="331">
        <v>56680176271</v>
      </c>
      <c r="E351" s="331">
        <v>1172557523</v>
      </c>
      <c r="F351" s="331">
        <v>842089</v>
      </c>
      <c r="G351" s="332">
        <f t="shared" si="10"/>
        <v>3.6296002362070004E-6</v>
      </c>
      <c r="H351" s="331">
        <v>1806478</v>
      </c>
      <c r="I351" s="331">
        <v>0</v>
      </c>
      <c r="J351" s="331">
        <f t="shared" si="11"/>
        <v>1806478</v>
      </c>
      <c r="K351" s="199">
        <v>2.0699999999999998</v>
      </c>
      <c r="L351" s="199">
        <v>0.82</v>
      </c>
    </row>
    <row r="352" spans="1:12" ht="15" customHeight="1" x14ac:dyDescent="0.25">
      <c r="A352" s="49">
        <v>2006</v>
      </c>
      <c r="B352" s="330" t="s">
        <v>11</v>
      </c>
      <c r="C352" s="331">
        <v>249945550925</v>
      </c>
      <c r="D352" s="331">
        <v>59005636705</v>
      </c>
      <c r="E352" s="331">
        <v>1134061637</v>
      </c>
      <c r="F352" s="331">
        <v>677476</v>
      </c>
      <c r="G352" s="332">
        <f t="shared" si="10"/>
        <v>2.7104943356374728E-6</v>
      </c>
      <c r="H352" s="331">
        <v>2290913</v>
      </c>
      <c r="I352" s="331">
        <v>0</v>
      </c>
      <c r="J352" s="331">
        <f t="shared" si="11"/>
        <v>2290913</v>
      </c>
      <c r="K352" s="199">
        <v>1.92</v>
      </c>
      <c r="L352" s="199">
        <v>0.82</v>
      </c>
    </row>
    <row r="353" spans="1:12" ht="15" customHeight="1" x14ac:dyDescent="0.25">
      <c r="A353" s="49">
        <v>2007</v>
      </c>
      <c r="B353" s="330" t="s">
        <v>11</v>
      </c>
      <c r="C353" s="331">
        <v>256113366179</v>
      </c>
      <c r="D353" s="331">
        <v>58148633761</v>
      </c>
      <c r="E353" s="331">
        <v>861592826</v>
      </c>
      <c r="F353" s="331">
        <v>1067319</v>
      </c>
      <c r="G353" s="332">
        <f t="shared" si="10"/>
        <v>4.1673693799098363E-6</v>
      </c>
      <c r="H353" s="331">
        <v>2203889</v>
      </c>
      <c r="I353" s="331">
        <v>0</v>
      </c>
      <c r="J353" s="331">
        <f t="shared" si="11"/>
        <v>2203889</v>
      </c>
      <c r="K353" s="199">
        <v>1.48</v>
      </c>
      <c r="L353" s="199">
        <v>0.82</v>
      </c>
    </row>
    <row r="354" spans="1:12" ht="15" customHeight="1" x14ac:dyDescent="0.25">
      <c r="A354" s="49">
        <v>2008</v>
      </c>
      <c r="B354" s="330" t="s">
        <v>11</v>
      </c>
      <c r="C354" s="331">
        <v>248429984287</v>
      </c>
      <c r="D354" s="331">
        <v>54226545911</v>
      </c>
      <c r="E354" s="331">
        <v>745102733</v>
      </c>
      <c r="F354" s="331">
        <v>1708790</v>
      </c>
      <c r="G354" s="332">
        <f t="shared" si="10"/>
        <v>6.878356511208855E-6</v>
      </c>
      <c r="H354" s="331">
        <v>1320285</v>
      </c>
      <c r="I354" s="331">
        <v>0</v>
      </c>
      <c r="J354" s="331">
        <f t="shared" si="11"/>
        <v>1320285</v>
      </c>
      <c r="K354" s="199">
        <v>1.4</v>
      </c>
      <c r="L354" s="199">
        <v>0.82</v>
      </c>
    </row>
    <row r="355" spans="1:12" ht="15" customHeight="1" x14ac:dyDescent="0.25">
      <c r="A355" s="49">
        <v>2009</v>
      </c>
      <c r="B355" s="330" t="s">
        <v>11</v>
      </c>
      <c r="C355" s="331">
        <v>230842052376</v>
      </c>
      <c r="D355" s="331">
        <v>49052111223</v>
      </c>
      <c r="E355" s="331">
        <v>754818383</v>
      </c>
      <c r="F355" s="331">
        <v>2916853</v>
      </c>
      <c r="G355" s="332">
        <f t="shared" si="10"/>
        <v>1.2635709005259464E-5</v>
      </c>
      <c r="H355" s="331">
        <v>135506</v>
      </c>
      <c r="I355" s="331">
        <v>951700</v>
      </c>
      <c r="J355" s="331">
        <f t="shared" si="11"/>
        <v>-816194</v>
      </c>
      <c r="K355" s="199">
        <v>1.5</v>
      </c>
      <c r="L355" s="199">
        <v>0.99</v>
      </c>
    </row>
    <row r="356" spans="1:12" ht="15" customHeight="1" x14ac:dyDescent="0.25">
      <c r="A356" s="49">
        <v>2010</v>
      </c>
      <c r="B356" s="330" t="s">
        <v>11</v>
      </c>
      <c r="C356" s="331">
        <v>231623583943</v>
      </c>
      <c r="D356" s="331">
        <v>49595160173</v>
      </c>
      <c r="E356" s="331">
        <v>1180464711</v>
      </c>
      <c r="F356" s="331">
        <v>2107829</v>
      </c>
      <c r="G356" s="332">
        <f t="shared" si="10"/>
        <v>9.1002348038907533E-6</v>
      </c>
      <c r="H356" s="331">
        <v>102956</v>
      </c>
      <c r="I356" s="331">
        <v>1957500</v>
      </c>
      <c r="J356" s="331">
        <f t="shared" si="11"/>
        <v>-1854544</v>
      </c>
      <c r="K356" s="199">
        <v>2.4</v>
      </c>
      <c r="L356" s="199">
        <v>1.01</v>
      </c>
    </row>
    <row r="357" spans="1:12" ht="15" customHeight="1" x14ac:dyDescent="0.25">
      <c r="A357" s="49">
        <v>2011</v>
      </c>
      <c r="B357" s="330" t="s">
        <v>11</v>
      </c>
      <c r="C357" s="331">
        <v>240217149685</v>
      </c>
      <c r="D357" s="331">
        <v>50207546247</v>
      </c>
      <c r="E357" s="331">
        <v>1711289752</v>
      </c>
      <c r="F357" s="331">
        <v>1508695</v>
      </c>
      <c r="G357" s="332">
        <f t="shared" si="10"/>
        <v>6.2805465886943217E-6</v>
      </c>
      <c r="H357" s="331">
        <v>48937</v>
      </c>
      <c r="I357" s="331">
        <v>1774000</v>
      </c>
      <c r="J357" s="331">
        <f t="shared" si="11"/>
        <v>-1725063</v>
      </c>
      <c r="K357" s="199">
        <v>3.4</v>
      </c>
      <c r="L357" s="199">
        <v>1.01</v>
      </c>
    </row>
    <row r="358" spans="1:12" ht="15" customHeight="1" x14ac:dyDescent="0.25">
      <c r="A358" s="49">
        <v>2012</v>
      </c>
      <c r="B358" s="330" t="s">
        <v>11</v>
      </c>
      <c r="C358" s="331">
        <v>252788260914</v>
      </c>
      <c r="D358" s="331">
        <v>57553424757</v>
      </c>
      <c r="E358" s="331">
        <v>2218662268</v>
      </c>
      <c r="F358" s="331">
        <v>1193946</v>
      </c>
      <c r="G358" s="332">
        <f t="shared" si="10"/>
        <v>4.7231069816417905E-6</v>
      </c>
      <c r="H358" s="331">
        <v>30810</v>
      </c>
      <c r="I358" s="331">
        <v>626216</v>
      </c>
      <c r="J358" s="331">
        <f t="shared" si="11"/>
        <v>-595406</v>
      </c>
      <c r="K358" s="199">
        <v>3.85</v>
      </c>
      <c r="L358" s="199">
        <v>1.01</v>
      </c>
    </row>
    <row r="359" spans="1:12" ht="15" customHeight="1" x14ac:dyDescent="0.25">
      <c r="A359" s="49">
        <v>2013</v>
      </c>
      <c r="B359" s="330" t="s">
        <v>11</v>
      </c>
      <c r="C359" s="331">
        <v>263108931494</v>
      </c>
      <c r="D359" s="331">
        <v>59483902835</v>
      </c>
      <c r="E359" s="331">
        <v>2061983367</v>
      </c>
      <c r="F359" s="331">
        <v>948973</v>
      </c>
      <c r="G359" s="332">
        <f t="shared" si="10"/>
        <v>3.6067684765070038E-6</v>
      </c>
      <c r="H359" s="331">
        <v>798920</v>
      </c>
      <c r="I359" s="331">
        <v>0</v>
      </c>
      <c r="J359" s="331">
        <f t="shared" si="11"/>
        <v>798920</v>
      </c>
      <c r="K359" s="199">
        <v>3.47</v>
      </c>
      <c r="L359" s="199">
        <v>1.01</v>
      </c>
    </row>
    <row r="360" spans="1:12" ht="15" customHeight="1" x14ac:dyDescent="0.25">
      <c r="A360" s="49">
        <v>2014</v>
      </c>
      <c r="B360" s="330" t="s">
        <v>11</v>
      </c>
      <c r="C360" s="331">
        <v>280130209346</v>
      </c>
      <c r="D360" s="331">
        <v>62381844060</v>
      </c>
      <c r="E360" s="331">
        <v>1777829817</v>
      </c>
      <c r="F360" s="331">
        <v>766609</v>
      </c>
      <c r="G360" s="332">
        <f t="shared" si="10"/>
        <v>2.7366166676194879E-6</v>
      </c>
      <c r="H360" s="331">
        <v>1848909</v>
      </c>
      <c r="I360" s="331">
        <v>0</v>
      </c>
      <c r="J360" s="331">
        <f t="shared" si="11"/>
        <v>1848909</v>
      </c>
      <c r="K360" s="333">
        <v>2.8499154582382187</v>
      </c>
      <c r="L360" s="199">
        <v>1.01</v>
      </c>
    </row>
    <row r="361" spans="1:12" ht="15" customHeight="1" x14ac:dyDescent="0.25">
      <c r="A361" s="49">
        <v>2015</v>
      </c>
      <c r="B361" s="330" t="s">
        <v>11</v>
      </c>
      <c r="C361" s="334">
        <v>301304128000</v>
      </c>
      <c r="D361" s="334">
        <v>59447522000</v>
      </c>
      <c r="E361" s="334">
        <v>1269481000</v>
      </c>
      <c r="F361" s="331">
        <v>506255</v>
      </c>
      <c r="G361" s="332">
        <f t="shared" si="10"/>
        <v>1.6802126255634971E-6</v>
      </c>
      <c r="H361" s="331">
        <v>2666016</v>
      </c>
      <c r="I361" s="199">
        <v>0</v>
      </c>
      <c r="J361" s="331">
        <f t="shared" si="11"/>
        <v>2666016</v>
      </c>
      <c r="K361" s="199">
        <v>2.1</v>
      </c>
      <c r="L361" s="199">
        <v>1.02</v>
      </c>
    </row>
    <row r="362" spans="1:12" ht="15" customHeight="1" x14ac:dyDescent="0.25">
      <c r="A362" s="49">
        <v>1980</v>
      </c>
      <c r="B362" s="330" t="s">
        <v>12</v>
      </c>
      <c r="C362" s="331">
        <v>21817564880</v>
      </c>
      <c r="D362" s="331">
        <v>10372753977</v>
      </c>
      <c r="E362" s="331">
        <v>170247015</v>
      </c>
      <c r="F362" s="331">
        <v>176269</v>
      </c>
      <c r="G362" s="332">
        <f t="shared" si="10"/>
        <v>8.0792242841722671E-6</v>
      </c>
      <c r="H362" s="331">
        <v>477607</v>
      </c>
      <c r="I362" s="331">
        <v>0</v>
      </c>
      <c r="J362" s="331">
        <f t="shared" si="11"/>
        <v>477607</v>
      </c>
      <c r="K362" s="199">
        <v>1.64</v>
      </c>
      <c r="L362" s="199">
        <v>1.55</v>
      </c>
    </row>
    <row r="363" spans="1:12" ht="15" customHeight="1" x14ac:dyDescent="0.25">
      <c r="A363" s="49">
        <v>1981</v>
      </c>
      <c r="B363" s="330" t="s">
        <v>12</v>
      </c>
      <c r="C363" s="331">
        <v>24348454417</v>
      </c>
      <c r="D363" s="331">
        <v>10875663096</v>
      </c>
      <c r="E363" s="331">
        <v>158692732</v>
      </c>
      <c r="F363" s="331">
        <v>176712</v>
      </c>
      <c r="G363" s="332">
        <f t="shared" si="10"/>
        <v>7.2576269923983489E-6</v>
      </c>
      <c r="H363" s="331">
        <v>507632</v>
      </c>
      <c r="I363" s="331">
        <v>0</v>
      </c>
      <c r="J363" s="331">
        <f t="shared" si="11"/>
        <v>507632</v>
      </c>
      <c r="K363" s="199">
        <v>1.46</v>
      </c>
      <c r="L363" s="199">
        <v>1.39</v>
      </c>
    </row>
    <row r="364" spans="1:12" ht="15" customHeight="1" x14ac:dyDescent="0.25">
      <c r="A364" s="49">
        <v>1982</v>
      </c>
      <c r="B364" s="330" t="s">
        <v>12</v>
      </c>
      <c r="C364" s="331">
        <v>25964287389</v>
      </c>
      <c r="D364" s="331">
        <v>10765790637</v>
      </c>
      <c r="E364" s="331">
        <v>147799756</v>
      </c>
      <c r="F364" s="331">
        <v>305109</v>
      </c>
      <c r="G364" s="332">
        <f t="shared" si="10"/>
        <v>1.1751102405732196E-5</v>
      </c>
      <c r="H364" s="331">
        <v>397109</v>
      </c>
      <c r="I364" s="331">
        <v>0</v>
      </c>
      <c r="J364" s="331">
        <f t="shared" si="11"/>
        <v>397109</v>
      </c>
      <c r="K364" s="199">
        <v>1.37</v>
      </c>
      <c r="L364" s="199">
        <v>1.5</v>
      </c>
    </row>
    <row r="365" spans="1:12" ht="15" customHeight="1" x14ac:dyDescent="0.25">
      <c r="A365" s="49">
        <v>1983</v>
      </c>
      <c r="B365" s="330" t="s">
        <v>12</v>
      </c>
      <c r="C365" s="331">
        <v>28712373750</v>
      </c>
      <c r="D365" s="331">
        <v>12629410800</v>
      </c>
      <c r="E365" s="331">
        <v>191918649</v>
      </c>
      <c r="F365" s="331">
        <v>226923</v>
      </c>
      <c r="G365" s="332">
        <f t="shared" si="10"/>
        <v>7.9033172936459153E-6</v>
      </c>
      <c r="H365" s="331">
        <v>381996</v>
      </c>
      <c r="I365" s="331">
        <v>0</v>
      </c>
      <c r="J365" s="331">
        <f t="shared" si="11"/>
        <v>381996</v>
      </c>
      <c r="K365" s="199">
        <v>1.52</v>
      </c>
      <c r="L365" s="199">
        <v>1.5</v>
      </c>
    </row>
    <row r="366" spans="1:12" ht="15" customHeight="1" x14ac:dyDescent="0.25">
      <c r="A366" s="49">
        <v>1984</v>
      </c>
      <c r="B366" s="330" t="s">
        <v>12</v>
      </c>
      <c r="C366" s="331">
        <v>33033906445</v>
      </c>
      <c r="D366" s="331">
        <v>14014454473</v>
      </c>
      <c r="E366" s="331">
        <v>234817155</v>
      </c>
      <c r="F366" s="331">
        <v>168993</v>
      </c>
      <c r="G366" s="332">
        <f t="shared" si="10"/>
        <v>5.1157437368591542E-6</v>
      </c>
      <c r="H366" s="331">
        <v>489518</v>
      </c>
      <c r="I366" s="331">
        <v>0</v>
      </c>
      <c r="J366" s="331">
        <f t="shared" si="11"/>
        <v>489518</v>
      </c>
      <c r="K366" s="199">
        <v>1.68</v>
      </c>
      <c r="L366" s="199">
        <v>1.5</v>
      </c>
    </row>
    <row r="367" spans="1:12" ht="15" customHeight="1" x14ac:dyDescent="0.25">
      <c r="A367" s="49">
        <v>1985</v>
      </c>
      <c r="B367" s="330" t="s">
        <v>12</v>
      </c>
      <c r="C367" s="331">
        <v>36732251588</v>
      </c>
      <c r="D367" s="331">
        <v>15033953077</v>
      </c>
      <c r="E367" s="331">
        <v>252588945</v>
      </c>
      <c r="F367" s="331">
        <v>198384</v>
      </c>
      <c r="G367" s="332">
        <f t="shared" si="10"/>
        <v>5.4008124039096408E-6</v>
      </c>
      <c r="H367" s="331">
        <v>594594</v>
      </c>
      <c r="I367" s="331">
        <v>0</v>
      </c>
      <c r="J367" s="331">
        <f t="shared" si="11"/>
        <v>594594</v>
      </c>
      <c r="K367" s="199">
        <v>1.68</v>
      </c>
      <c r="L367" s="199">
        <v>1.5</v>
      </c>
    </row>
    <row r="368" spans="1:12" ht="15" customHeight="1" x14ac:dyDescent="0.25">
      <c r="A368" s="49">
        <v>1986</v>
      </c>
      <c r="B368" s="330" t="s">
        <v>12</v>
      </c>
      <c r="C368" s="331">
        <v>40365397097</v>
      </c>
      <c r="D368" s="331">
        <v>16638517361</v>
      </c>
      <c r="E368" s="331">
        <v>267500561</v>
      </c>
      <c r="F368" s="331">
        <v>219174</v>
      </c>
      <c r="G368" s="332">
        <f t="shared" si="10"/>
        <v>5.4297496311832209E-6</v>
      </c>
      <c r="H368" s="331">
        <v>705654</v>
      </c>
      <c r="I368" s="331">
        <v>0</v>
      </c>
      <c r="J368" s="331">
        <f t="shared" si="11"/>
        <v>705654</v>
      </c>
      <c r="K368" s="199">
        <v>1.61</v>
      </c>
      <c r="L368" s="199">
        <v>1.5</v>
      </c>
    </row>
    <row r="369" spans="1:12" ht="15" customHeight="1" x14ac:dyDescent="0.25">
      <c r="A369" s="49">
        <v>1987</v>
      </c>
      <c r="B369" s="330" t="s">
        <v>12</v>
      </c>
      <c r="C369" s="331">
        <v>44013730486</v>
      </c>
      <c r="D369" s="331">
        <v>17611898695</v>
      </c>
      <c r="E369" s="331">
        <v>264984936</v>
      </c>
      <c r="F369" s="331">
        <v>230615</v>
      </c>
      <c r="G369" s="332">
        <f t="shared" si="10"/>
        <v>5.2396149440991966E-6</v>
      </c>
      <c r="H369" s="331">
        <v>803136</v>
      </c>
      <c r="I369" s="331">
        <v>0</v>
      </c>
      <c r="J369" s="331">
        <f t="shared" si="11"/>
        <v>803136</v>
      </c>
      <c r="K369" s="199">
        <v>1.5</v>
      </c>
      <c r="L369" s="199">
        <v>1.5</v>
      </c>
    </row>
    <row r="370" spans="1:12" ht="15" customHeight="1" x14ac:dyDescent="0.25">
      <c r="A370" s="49">
        <v>1988</v>
      </c>
      <c r="B370" s="330" t="s">
        <v>12</v>
      </c>
      <c r="C370" s="331">
        <v>47444779987</v>
      </c>
      <c r="D370" s="331">
        <v>18151035196</v>
      </c>
      <c r="E370" s="331">
        <v>259262356</v>
      </c>
      <c r="F370" s="331">
        <v>216720</v>
      </c>
      <c r="G370" s="332">
        <f t="shared" si="10"/>
        <v>4.5678365472320009E-6</v>
      </c>
      <c r="H370" s="331">
        <v>922267</v>
      </c>
      <c r="I370" s="331">
        <v>0</v>
      </c>
      <c r="J370" s="331">
        <f t="shared" si="11"/>
        <v>922267</v>
      </c>
      <c r="K370" s="199">
        <v>1.43</v>
      </c>
      <c r="L370" s="199">
        <v>1.5</v>
      </c>
    </row>
    <row r="371" spans="1:12" ht="15" customHeight="1" x14ac:dyDescent="0.25">
      <c r="A371" s="49">
        <v>1989</v>
      </c>
      <c r="B371" s="330" t="s">
        <v>12</v>
      </c>
      <c r="C371" s="331">
        <v>49520992880</v>
      </c>
      <c r="D371" s="331">
        <v>18590140202</v>
      </c>
      <c r="E371" s="331">
        <v>257523069</v>
      </c>
      <c r="F371" s="331">
        <v>243520</v>
      </c>
      <c r="G371" s="332">
        <f t="shared" si="10"/>
        <v>4.9175104503680133E-6</v>
      </c>
      <c r="H371" s="331">
        <v>1017630</v>
      </c>
      <c r="I371" s="331">
        <v>0</v>
      </c>
      <c r="J371" s="331">
        <f t="shared" si="11"/>
        <v>1017630</v>
      </c>
      <c r="K371" s="199">
        <v>1.39</v>
      </c>
      <c r="L371" s="199">
        <v>1.5</v>
      </c>
    </row>
    <row r="372" spans="1:12" ht="15" customHeight="1" x14ac:dyDescent="0.25">
      <c r="A372" s="49">
        <v>1990</v>
      </c>
      <c r="B372" s="330" t="s">
        <v>12</v>
      </c>
      <c r="C372" s="331">
        <v>52390506365</v>
      </c>
      <c r="D372" s="331">
        <v>20307260011</v>
      </c>
      <c r="E372" s="331">
        <v>268694148</v>
      </c>
      <c r="F372" s="331">
        <v>306182</v>
      </c>
      <c r="G372" s="332">
        <f t="shared" si="10"/>
        <v>5.8442267739665894E-6</v>
      </c>
      <c r="H372" s="331">
        <v>1072115</v>
      </c>
      <c r="I372" s="331">
        <v>0</v>
      </c>
      <c r="J372" s="331">
        <f t="shared" si="11"/>
        <v>1072115</v>
      </c>
      <c r="K372" s="199">
        <v>1.32</v>
      </c>
      <c r="L372" s="199">
        <v>1.5</v>
      </c>
    </row>
    <row r="373" spans="1:12" ht="15" customHeight="1" x14ac:dyDescent="0.25">
      <c r="A373" s="49">
        <v>1991</v>
      </c>
      <c r="B373" s="330" t="s">
        <v>12</v>
      </c>
      <c r="C373" s="331">
        <v>53308781080</v>
      </c>
      <c r="D373" s="331">
        <v>19924828908</v>
      </c>
      <c r="E373" s="331">
        <v>259703621</v>
      </c>
      <c r="F373" s="331">
        <v>453248</v>
      </c>
      <c r="G373" s="332">
        <f t="shared" si="10"/>
        <v>8.5023140806730305E-6</v>
      </c>
      <c r="H373" s="331">
        <v>962324</v>
      </c>
      <c r="I373" s="331">
        <v>0</v>
      </c>
      <c r="J373" s="331">
        <f t="shared" si="11"/>
        <v>962324</v>
      </c>
      <c r="K373" s="199">
        <v>1.3</v>
      </c>
      <c r="L373" s="199">
        <v>1.5</v>
      </c>
    </row>
    <row r="374" spans="1:12" ht="15" customHeight="1" x14ac:dyDescent="0.25">
      <c r="A374" s="49">
        <v>1992</v>
      </c>
      <c r="B374" s="330" t="s">
        <v>12</v>
      </c>
      <c r="C374" s="331">
        <v>57557328417</v>
      </c>
      <c r="D374" s="331">
        <v>20581732726</v>
      </c>
      <c r="E374" s="331">
        <v>291424255</v>
      </c>
      <c r="F374" s="331">
        <v>362685</v>
      </c>
      <c r="G374" s="332">
        <f t="shared" si="10"/>
        <v>6.3012827380097476E-6</v>
      </c>
      <c r="H374" s="331">
        <v>965870</v>
      </c>
      <c r="I374" s="331">
        <v>0</v>
      </c>
      <c r="J374" s="331">
        <f t="shared" si="11"/>
        <v>965870</v>
      </c>
      <c r="K374" s="199">
        <v>1.42</v>
      </c>
      <c r="L374" s="199">
        <v>1.5</v>
      </c>
    </row>
    <row r="375" spans="1:12" ht="15" customHeight="1" x14ac:dyDescent="0.25">
      <c r="A375" s="49">
        <v>1993</v>
      </c>
      <c r="B375" s="330" t="s">
        <v>12</v>
      </c>
      <c r="C375" s="331">
        <v>61106975492</v>
      </c>
      <c r="D375" s="331">
        <v>21579675614</v>
      </c>
      <c r="E375" s="331">
        <v>330996200</v>
      </c>
      <c r="F375" s="331">
        <v>280836</v>
      </c>
      <c r="G375" s="332">
        <f t="shared" si="10"/>
        <v>4.5958091975402464E-6</v>
      </c>
      <c r="H375" s="331">
        <v>1094999</v>
      </c>
      <c r="I375" s="331">
        <v>0</v>
      </c>
      <c r="J375" s="331">
        <f t="shared" si="11"/>
        <v>1094999</v>
      </c>
      <c r="K375" s="199">
        <v>1.53</v>
      </c>
      <c r="L375" s="199">
        <v>1.5</v>
      </c>
    </row>
    <row r="376" spans="1:12" ht="15" customHeight="1" x14ac:dyDescent="0.25">
      <c r="A376" s="49">
        <v>1994</v>
      </c>
      <c r="B376" s="330" t="s">
        <v>12</v>
      </c>
      <c r="C376" s="331">
        <v>65591508695</v>
      </c>
      <c r="D376" s="331">
        <v>23065701502</v>
      </c>
      <c r="E376" s="331">
        <v>364360744</v>
      </c>
      <c r="F376" s="331">
        <v>252201</v>
      </c>
      <c r="G376" s="332">
        <f t="shared" si="10"/>
        <v>3.8450251414818441E-6</v>
      </c>
      <c r="H376" s="331">
        <v>1281507</v>
      </c>
      <c r="I376" s="331">
        <v>0</v>
      </c>
      <c r="J376" s="331">
        <f t="shared" si="11"/>
        <v>1281507</v>
      </c>
      <c r="K376" s="199">
        <v>1.58</v>
      </c>
      <c r="L376" s="199">
        <v>1.5</v>
      </c>
    </row>
    <row r="377" spans="1:12" ht="15" customHeight="1" x14ac:dyDescent="0.25">
      <c r="A377" s="49">
        <v>1995</v>
      </c>
      <c r="B377" s="330" t="s">
        <v>12</v>
      </c>
      <c r="C377" s="331">
        <v>71607287537</v>
      </c>
      <c r="D377" s="331">
        <v>24809625208</v>
      </c>
      <c r="E377" s="331">
        <v>347089531</v>
      </c>
      <c r="F377" s="331">
        <v>270382</v>
      </c>
      <c r="G377" s="332">
        <f t="shared" si="10"/>
        <v>3.7759006003445067E-6</v>
      </c>
      <c r="H377" s="331">
        <v>1453118</v>
      </c>
      <c r="I377" s="331">
        <v>0</v>
      </c>
      <c r="J377" s="331">
        <f t="shared" si="11"/>
        <v>1453118</v>
      </c>
      <c r="K377" s="199">
        <v>1.4</v>
      </c>
      <c r="L377" s="199">
        <v>1.07</v>
      </c>
    </row>
    <row r="378" spans="1:12" ht="15" customHeight="1" x14ac:dyDescent="0.25">
      <c r="A378" s="49">
        <v>1996</v>
      </c>
      <c r="B378" s="330" t="s">
        <v>12</v>
      </c>
      <c r="C378" s="331">
        <v>77906432403</v>
      </c>
      <c r="D378" s="331">
        <v>25823004738</v>
      </c>
      <c r="E378" s="331">
        <v>351912838</v>
      </c>
      <c r="F378" s="331">
        <v>283558</v>
      </c>
      <c r="G378" s="332">
        <f t="shared" si="10"/>
        <v>3.6397251324921513E-6</v>
      </c>
      <c r="H378" s="331">
        <v>1634073</v>
      </c>
      <c r="I378" s="331">
        <v>0</v>
      </c>
      <c r="J378" s="331">
        <f t="shared" si="11"/>
        <v>1634073</v>
      </c>
      <c r="K378" s="199">
        <v>1.36</v>
      </c>
      <c r="L378" s="199">
        <v>0.96</v>
      </c>
    </row>
    <row r="379" spans="1:12" ht="15" customHeight="1" x14ac:dyDescent="0.25">
      <c r="A379" s="49">
        <v>1997</v>
      </c>
      <c r="B379" s="330" t="s">
        <v>12</v>
      </c>
      <c r="C379" s="331">
        <v>84325038846</v>
      </c>
      <c r="D379" s="331">
        <v>27146179797</v>
      </c>
      <c r="E379" s="331">
        <v>313980529</v>
      </c>
      <c r="F379" s="331">
        <v>268708</v>
      </c>
      <c r="G379" s="332">
        <f t="shared" si="10"/>
        <v>3.1865742806324994E-6</v>
      </c>
      <c r="H379" s="331">
        <v>1797102</v>
      </c>
      <c r="I379" s="331">
        <v>0</v>
      </c>
      <c r="J379" s="331">
        <f t="shared" si="11"/>
        <v>1797102</v>
      </c>
      <c r="K379" s="199">
        <v>1.1599999999999999</v>
      </c>
      <c r="L379" s="199">
        <v>0.96</v>
      </c>
    </row>
    <row r="380" spans="1:12" ht="15" customHeight="1" x14ac:dyDescent="0.25">
      <c r="A380" s="49">
        <v>1998</v>
      </c>
      <c r="B380" s="330" t="s">
        <v>12</v>
      </c>
      <c r="C380" s="331">
        <v>94383043860</v>
      </c>
      <c r="D380" s="331">
        <v>28909495859</v>
      </c>
      <c r="E380" s="331">
        <v>284476580</v>
      </c>
      <c r="F380" s="331">
        <v>239754</v>
      </c>
      <c r="G380" s="332">
        <f t="shared" si="10"/>
        <v>2.5402232243710138E-6</v>
      </c>
      <c r="H380" s="331">
        <v>1955670</v>
      </c>
      <c r="I380" s="331">
        <v>0</v>
      </c>
      <c r="J380" s="331">
        <f t="shared" si="11"/>
        <v>1955670</v>
      </c>
      <c r="K380" s="199">
        <v>0.98</v>
      </c>
      <c r="L380" s="199">
        <v>0.96</v>
      </c>
    </row>
    <row r="381" spans="1:12" ht="15" customHeight="1" x14ac:dyDescent="0.25">
      <c r="A381" s="49">
        <v>1999</v>
      </c>
      <c r="B381" s="330" t="s">
        <v>12</v>
      </c>
      <c r="C381" s="331">
        <v>101703800617</v>
      </c>
      <c r="D381" s="331">
        <v>30682801260</v>
      </c>
      <c r="E381" s="331">
        <v>138407409</v>
      </c>
      <c r="F381" s="331">
        <v>272342</v>
      </c>
      <c r="G381" s="332">
        <f t="shared" si="10"/>
        <v>2.6777957003356814E-6</v>
      </c>
      <c r="H381" s="331">
        <v>1964336</v>
      </c>
      <c r="I381" s="331">
        <v>0</v>
      </c>
      <c r="J381" s="331">
        <f t="shared" si="11"/>
        <v>1964336</v>
      </c>
      <c r="K381" s="199">
        <v>0.45</v>
      </c>
      <c r="L381" s="199">
        <v>0.96</v>
      </c>
    </row>
    <row r="382" spans="1:12" ht="15" customHeight="1" x14ac:dyDescent="0.25">
      <c r="A382" s="49">
        <v>2000</v>
      </c>
      <c r="B382" s="330" t="s">
        <v>12</v>
      </c>
      <c r="C382" s="331">
        <v>110470130459</v>
      </c>
      <c r="D382" s="331">
        <v>32079401987</v>
      </c>
      <c r="E382" s="331">
        <v>151969062</v>
      </c>
      <c r="F382" s="331">
        <v>306832</v>
      </c>
      <c r="G382" s="332">
        <f t="shared" si="10"/>
        <v>2.7775109771765678E-6</v>
      </c>
      <c r="H382" s="331">
        <v>1906548</v>
      </c>
      <c r="I382" s="331">
        <v>0</v>
      </c>
      <c r="J382" s="331">
        <f t="shared" si="11"/>
        <v>1906548</v>
      </c>
      <c r="K382" s="199">
        <v>0.47</v>
      </c>
      <c r="L382" s="199">
        <v>0.96</v>
      </c>
    </row>
    <row r="383" spans="1:12" ht="15" customHeight="1" x14ac:dyDescent="0.25">
      <c r="A383" s="49">
        <v>2001</v>
      </c>
      <c r="B383" s="330" t="s">
        <v>12</v>
      </c>
      <c r="C383" s="331">
        <v>112376775336</v>
      </c>
      <c r="D383" s="331">
        <v>31513976011</v>
      </c>
      <c r="E383" s="331">
        <v>160612548</v>
      </c>
      <c r="F383" s="331">
        <v>592872</v>
      </c>
      <c r="G383" s="332">
        <f t="shared" si="10"/>
        <v>5.2757520246273956E-6</v>
      </c>
      <c r="H383" s="331">
        <v>1542375</v>
      </c>
      <c r="I383" s="331">
        <v>0</v>
      </c>
      <c r="J383" s="331">
        <f t="shared" si="11"/>
        <v>1542375</v>
      </c>
      <c r="K383" s="199">
        <v>0.51</v>
      </c>
      <c r="L383" s="199">
        <v>0.94</v>
      </c>
    </row>
    <row r="384" spans="1:12" ht="15" customHeight="1" x14ac:dyDescent="0.25">
      <c r="A384" s="49">
        <v>2002</v>
      </c>
      <c r="B384" s="330" t="s">
        <v>12</v>
      </c>
      <c r="C384" s="331">
        <v>110970512118</v>
      </c>
      <c r="D384" s="331">
        <v>30564869117</v>
      </c>
      <c r="E384" s="331">
        <v>161213171</v>
      </c>
      <c r="F384" s="331">
        <v>759529</v>
      </c>
      <c r="G384" s="332">
        <f t="shared" si="10"/>
        <v>6.8444218694093995E-6</v>
      </c>
      <c r="H384" s="331">
        <v>1245928</v>
      </c>
      <c r="I384" s="331">
        <v>0</v>
      </c>
      <c r="J384" s="331">
        <f t="shared" si="11"/>
        <v>1245928</v>
      </c>
      <c r="K384" s="199">
        <v>0.52</v>
      </c>
      <c r="L384" s="199">
        <v>0.94</v>
      </c>
    </row>
    <row r="385" spans="1:12" ht="15" customHeight="1" x14ac:dyDescent="0.25">
      <c r="A385" s="49">
        <v>2003</v>
      </c>
      <c r="B385" s="330" t="s">
        <v>12</v>
      </c>
      <c r="C385" s="331">
        <v>112132911827</v>
      </c>
      <c r="D385" s="331">
        <v>30139592640</v>
      </c>
      <c r="E385" s="331">
        <v>167636531</v>
      </c>
      <c r="F385" s="331">
        <v>729739</v>
      </c>
      <c r="G385" s="332">
        <f t="shared" si="10"/>
        <v>6.5078038919193505E-6</v>
      </c>
      <c r="H385" s="331">
        <v>702911</v>
      </c>
      <c r="I385" s="331">
        <v>0</v>
      </c>
      <c r="J385" s="331">
        <f t="shared" si="11"/>
        <v>702911</v>
      </c>
      <c r="K385" s="199">
        <v>0.56000000000000005</v>
      </c>
      <c r="L385" s="199">
        <v>0.94</v>
      </c>
    </row>
    <row r="386" spans="1:12" x14ac:dyDescent="0.25">
      <c r="A386" s="49">
        <v>2004</v>
      </c>
      <c r="B386" s="330" t="s">
        <v>12</v>
      </c>
      <c r="C386" s="331">
        <v>118118711625</v>
      </c>
      <c r="D386" s="331">
        <v>30912512937</v>
      </c>
      <c r="E386" s="331">
        <v>742166529</v>
      </c>
      <c r="F386" s="331">
        <v>559429</v>
      </c>
      <c r="G386" s="332">
        <f t="shared" ref="G386:G449" si="12">F386/C386</f>
        <v>4.7361590073557493E-6</v>
      </c>
      <c r="H386" s="331">
        <v>869518</v>
      </c>
      <c r="I386" s="331">
        <v>0</v>
      </c>
      <c r="J386" s="331">
        <f t="shared" ref="J386:J449" si="13">H386-I386</f>
        <v>869518</v>
      </c>
      <c r="K386" s="199">
        <v>2.4</v>
      </c>
      <c r="L386" s="199">
        <v>0.94</v>
      </c>
    </row>
    <row r="387" spans="1:12" ht="15" customHeight="1" x14ac:dyDescent="0.25">
      <c r="A387" s="49">
        <v>2005</v>
      </c>
      <c r="B387" s="330" t="s">
        <v>12</v>
      </c>
      <c r="C387" s="331">
        <v>125066592040</v>
      </c>
      <c r="D387" s="331">
        <v>31844214663</v>
      </c>
      <c r="E387" s="331">
        <v>686222270</v>
      </c>
      <c r="F387" s="331">
        <v>502072</v>
      </c>
      <c r="G387" s="332">
        <f t="shared" si="12"/>
        <v>4.0144373634121452E-6</v>
      </c>
      <c r="H387" s="331">
        <v>1118340</v>
      </c>
      <c r="I387" s="331">
        <v>0</v>
      </c>
      <c r="J387" s="331">
        <f t="shared" si="13"/>
        <v>1118340</v>
      </c>
      <c r="K387" s="199">
        <v>2.15</v>
      </c>
      <c r="L387" s="199">
        <v>0.94</v>
      </c>
    </row>
    <row r="388" spans="1:12" ht="15" customHeight="1" x14ac:dyDescent="0.25">
      <c r="A388" s="49">
        <v>2006</v>
      </c>
      <c r="B388" s="330" t="s">
        <v>12</v>
      </c>
      <c r="C388" s="331">
        <v>132175313569</v>
      </c>
      <c r="D388" s="331">
        <v>33021444652</v>
      </c>
      <c r="E388" s="331">
        <v>613497750</v>
      </c>
      <c r="F388" s="331">
        <v>515791</v>
      </c>
      <c r="G388" s="332">
        <f t="shared" si="12"/>
        <v>3.902324769070736E-6</v>
      </c>
      <c r="H388" s="331">
        <v>1272514</v>
      </c>
      <c r="I388" s="331">
        <v>0</v>
      </c>
      <c r="J388" s="331">
        <f t="shared" si="13"/>
        <v>1272514</v>
      </c>
      <c r="K388" s="199">
        <v>1.86</v>
      </c>
      <c r="L388" s="199">
        <v>0.94</v>
      </c>
    </row>
    <row r="389" spans="1:12" ht="15" customHeight="1" x14ac:dyDescent="0.25">
      <c r="A389" s="49">
        <v>2007</v>
      </c>
      <c r="B389" s="330" t="s">
        <v>12</v>
      </c>
      <c r="C389" s="331">
        <v>139917927851</v>
      </c>
      <c r="D389" s="331">
        <v>33555833263</v>
      </c>
      <c r="E389" s="331">
        <v>518253463</v>
      </c>
      <c r="F389" s="331">
        <v>559031</v>
      </c>
      <c r="G389" s="332">
        <f t="shared" si="12"/>
        <v>3.9954208055119119E-6</v>
      </c>
      <c r="H389" s="331">
        <v>1281787</v>
      </c>
      <c r="I389" s="331">
        <v>0</v>
      </c>
      <c r="J389" s="331">
        <f t="shared" si="13"/>
        <v>1281787</v>
      </c>
      <c r="K389" s="199">
        <v>1.54</v>
      </c>
      <c r="L389" s="199">
        <v>0.94</v>
      </c>
    </row>
    <row r="390" spans="1:12" ht="15" customHeight="1" x14ac:dyDescent="0.25">
      <c r="A390" s="49">
        <v>2008</v>
      </c>
      <c r="B390" s="330" t="s">
        <v>12</v>
      </c>
      <c r="C390" s="331">
        <v>138093092331</v>
      </c>
      <c r="D390" s="331">
        <v>32448298197</v>
      </c>
      <c r="E390" s="331">
        <v>484533278</v>
      </c>
      <c r="F390" s="331">
        <v>917418</v>
      </c>
      <c r="G390" s="332">
        <f t="shared" si="12"/>
        <v>6.6434749523966763E-6</v>
      </c>
      <c r="H390" s="331">
        <v>909805</v>
      </c>
      <c r="I390" s="331">
        <v>0</v>
      </c>
      <c r="J390" s="331">
        <f t="shared" si="13"/>
        <v>909805</v>
      </c>
      <c r="K390" s="199">
        <v>1.5</v>
      </c>
      <c r="L390" s="199">
        <v>0.94</v>
      </c>
    </row>
    <row r="391" spans="1:12" ht="15" customHeight="1" x14ac:dyDescent="0.25">
      <c r="A391" s="49">
        <v>2009</v>
      </c>
      <c r="B391" s="330" t="s">
        <v>12</v>
      </c>
      <c r="C391" s="331">
        <v>128932341309</v>
      </c>
      <c r="D391" s="331">
        <v>29767852639</v>
      </c>
      <c r="E391" s="331">
        <v>491169226</v>
      </c>
      <c r="F391" s="331">
        <v>1657492</v>
      </c>
      <c r="G391" s="332">
        <f t="shared" si="12"/>
        <v>1.2855517732572971E-5</v>
      </c>
      <c r="H391" s="331">
        <v>18045</v>
      </c>
      <c r="I391" s="331">
        <v>70000</v>
      </c>
      <c r="J391" s="331">
        <f t="shared" si="13"/>
        <v>-51955</v>
      </c>
      <c r="K391" s="199">
        <v>1.6</v>
      </c>
      <c r="L391" s="199">
        <v>0.94</v>
      </c>
    </row>
    <row r="392" spans="1:12" ht="15" customHeight="1" x14ac:dyDescent="0.25">
      <c r="A392" s="49">
        <v>2010</v>
      </c>
      <c r="B392" s="330" t="s">
        <v>12</v>
      </c>
      <c r="C392" s="331">
        <v>130721126423</v>
      </c>
      <c r="D392" s="331">
        <v>29695475473</v>
      </c>
      <c r="E392" s="331">
        <v>653672130</v>
      </c>
      <c r="F392" s="331">
        <v>1089577</v>
      </c>
      <c r="G392" s="332">
        <f t="shared" si="12"/>
        <v>8.3351255440856735E-6</v>
      </c>
      <c r="H392" s="331">
        <v>19887</v>
      </c>
      <c r="I392" s="331">
        <v>532500</v>
      </c>
      <c r="J392" s="331">
        <f t="shared" si="13"/>
        <v>-512613</v>
      </c>
      <c r="K392" s="199">
        <v>2.2000000000000002</v>
      </c>
      <c r="L392" s="199">
        <v>0.99</v>
      </c>
    </row>
    <row r="393" spans="1:12" ht="15" customHeight="1" x14ac:dyDescent="0.25">
      <c r="A393" s="49">
        <v>2011</v>
      </c>
      <c r="B393" s="330" t="s">
        <v>12</v>
      </c>
      <c r="C393" s="331">
        <v>136774813209</v>
      </c>
      <c r="D393" s="331">
        <v>30477732827</v>
      </c>
      <c r="E393" s="331">
        <v>763696212</v>
      </c>
      <c r="F393" s="331">
        <v>873186</v>
      </c>
      <c r="G393" s="332">
        <f t="shared" si="12"/>
        <v>6.3841140010604162E-6</v>
      </c>
      <c r="H393" s="331">
        <v>89763</v>
      </c>
      <c r="I393" s="331">
        <v>721080</v>
      </c>
      <c r="J393" s="331">
        <f t="shared" si="13"/>
        <v>-631317</v>
      </c>
      <c r="K393" s="199">
        <v>2.5</v>
      </c>
      <c r="L393" s="199">
        <v>0.99</v>
      </c>
    </row>
    <row r="394" spans="1:12" ht="15" customHeight="1" x14ac:dyDescent="0.25">
      <c r="A394" s="49">
        <v>2012</v>
      </c>
      <c r="B394" s="330" t="s">
        <v>12</v>
      </c>
      <c r="C394" s="331">
        <v>143556246367</v>
      </c>
      <c r="D394" s="331">
        <v>31149464675</v>
      </c>
      <c r="E394" s="331">
        <v>837716620</v>
      </c>
      <c r="F394" s="331">
        <v>774081</v>
      </c>
      <c r="G394" s="332">
        <f t="shared" si="12"/>
        <v>5.392179160362484E-6</v>
      </c>
      <c r="H394" s="331">
        <v>29935</v>
      </c>
      <c r="I394" s="331">
        <v>550452</v>
      </c>
      <c r="J394" s="331">
        <f t="shared" si="13"/>
        <v>-520517</v>
      </c>
      <c r="K394" s="199">
        <v>2.69</v>
      </c>
      <c r="L394" s="199">
        <v>0.99</v>
      </c>
    </row>
    <row r="395" spans="1:12" ht="15" customHeight="1" x14ac:dyDescent="0.25">
      <c r="A395" s="49">
        <v>2013</v>
      </c>
      <c r="B395" s="330" t="s">
        <v>12</v>
      </c>
      <c r="C395" s="331">
        <v>148914158713</v>
      </c>
      <c r="D395" s="331">
        <v>35063894710</v>
      </c>
      <c r="E395" s="331">
        <v>892484586</v>
      </c>
      <c r="F395" s="331">
        <v>622222</v>
      </c>
      <c r="G395" s="332">
        <f t="shared" si="12"/>
        <v>4.1783938167974952E-6</v>
      </c>
      <c r="H395" s="331">
        <v>26499</v>
      </c>
      <c r="I395" s="331">
        <v>145251</v>
      </c>
      <c r="J395" s="331">
        <f t="shared" si="13"/>
        <v>-118752</v>
      </c>
      <c r="K395" s="199">
        <v>2.5499999999999998</v>
      </c>
      <c r="L395" s="199">
        <v>0.99</v>
      </c>
    </row>
    <row r="396" spans="1:12" ht="15" customHeight="1" x14ac:dyDescent="0.25">
      <c r="A396" s="49">
        <v>2014</v>
      </c>
      <c r="B396" s="330" t="s">
        <v>12</v>
      </c>
      <c r="C396" s="331">
        <v>158623386623</v>
      </c>
      <c r="D396" s="331">
        <v>36668148620</v>
      </c>
      <c r="E396" s="331">
        <v>856216290</v>
      </c>
      <c r="F396" s="331">
        <v>474420</v>
      </c>
      <c r="G396" s="332">
        <f t="shared" si="12"/>
        <v>2.9908578432230387E-6</v>
      </c>
      <c r="H396" s="331">
        <v>495147</v>
      </c>
      <c r="I396" s="331">
        <v>0</v>
      </c>
      <c r="J396" s="331">
        <f t="shared" si="13"/>
        <v>495147</v>
      </c>
      <c r="K396" s="333">
        <v>2.3350409612253831</v>
      </c>
      <c r="L396" s="199">
        <v>0.99</v>
      </c>
    </row>
    <row r="397" spans="1:12" ht="15" customHeight="1" x14ac:dyDescent="0.25">
      <c r="A397" s="49">
        <v>2015</v>
      </c>
      <c r="B397" s="330" t="s">
        <v>12</v>
      </c>
      <c r="C397" s="334">
        <v>168683942000</v>
      </c>
      <c r="D397" s="334">
        <v>38662317000</v>
      </c>
      <c r="E397" s="334">
        <v>804797000</v>
      </c>
      <c r="F397" s="331">
        <v>381811</v>
      </c>
      <c r="G397" s="332">
        <f t="shared" si="12"/>
        <v>2.2634697498354645E-6</v>
      </c>
      <c r="H397" s="331">
        <v>941924</v>
      </c>
      <c r="I397" s="199">
        <v>0</v>
      </c>
      <c r="J397" s="331">
        <f t="shared" si="13"/>
        <v>941924</v>
      </c>
      <c r="K397" s="199">
        <v>2.1</v>
      </c>
      <c r="L397" s="199">
        <v>0.99</v>
      </c>
    </row>
    <row r="398" spans="1:12" ht="15" customHeight="1" x14ac:dyDescent="0.25">
      <c r="A398" s="49">
        <v>1980</v>
      </c>
      <c r="B398" s="330" t="s">
        <v>13</v>
      </c>
      <c r="C398" s="331">
        <v>3937160119</v>
      </c>
      <c r="D398" s="331">
        <v>2689241049</v>
      </c>
      <c r="E398" s="331">
        <v>56019996</v>
      </c>
      <c r="F398" s="331">
        <v>40991</v>
      </c>
      <c r="G398" s="332">
        <f t="shared" si="12"/>
        <v>1.0411311392235506E-5</v>
      </c>
      <c r="H398" s="331">
        <v>105102</v>
      </c>
      <c r="I398" s="331">
        <v>0</v>
      </c>
      <c r="J398" s="331">
        <f t="shared" si="13"/>
        <v>105102</v>
      </c>
      <c r="K398" s="199">
        <v>2.08</v>
      </c>
      <c r="L398" s="199">
        <v>1.93</v>
      </c>
    </row>
    <row r="399" spans="1:12" ht="15" customHeight="1" x14ac:dyDescent="0.25">
      <c r="A399" s="49">
        <v>1981</v>
      </c>
      <c r="B399" s="330" t="s">
        <v>13</v>
      </c>
      <c r="C399" s="331">
        <v>4228008205</v>
      </c>
      <c r="D399" s="331">
        <v>2920919397</v>
      </c>
      <c r="E399" s="331">
        <v>52181137</v>
      </c>
      <c r="F399" s="331">
        <v>57071</v>
      </c>
      <c r="G399" s="332">
        <f t="shared" si="12"/>
        <v>1.3498318175567496E-5</v>
      </c>
      <c r="H399" s="331">
        <v>112415</v>
      </c>
      <c r="I399" s="331">
        <v>0</v>
      </c>
      <c r="J399" s="331">
        <f t="shared" si="13"/>
        <v>112415</v>
      </c>
      <c r="K399" s="199">
        <v>1.79</v>
      </c>
      <c r="L399" s="199">
        <v>1.93</v>
      </c>
    </row>
    <row r="400" spans="1:12" ht="15" customHeight="1" x14ac:dyDescent="0.25">
      <c r="A400" s="49">
        <v>1982</v>
      </c>
      <c r="B400" s="330" t="s">
        <v>13</v>
      </c>
      <c r="C400" s="331">
        <v>4344503796</v>
      </c>
      <c r="D400" s="331">
        <v>3024829503</v>
      </c>
      <c r="E400" s="331">
        <v>56027814</v>
      </c>
      <c r="F400" s="331">
        <v>70974</v>
      </c>
      <c r="G400" s="332">
        <f t="shared" si="12"/>
        <v>1.6336503161844632E-5</v>
      </c>
      <c r="H400" s="331">
        <v>108019</v>
      </c>
      <c r="I400" s="331">
        <v>0</v>
      </c>
      <c r="J400" s="331">
        <f t="shared" si="13"/>
        <v>108019</v>
      </c>
      <c r="K400" s="199">
        <v>1.85</v>
      </c>
      <c r="L400" s="199">
        <v>1.93</v>
      </c>
    </row>
    <row r="401" spans="1:12" ht="15" customHeight="1" x14ac:dyDescent="0.25">
      <c r="A401" s="49">
        <v>1983</v>
      </c>
      <c r="B401" s="330" t="s">
        <v>13</v>
      </c>
      <c r="C401" s="331">
        <v>4600156208</v>
      </c>
      <c r="D401" s="331">
        <v>3198062518</v>
      </c>
      <c r="E401" s="331">
        <v>73858666</v>
      </c>
      <c r="F401" s="331">
        <v>60791</v>
      </c>
      <c r="G401" s="332">
        <f t="shared" si="12"/>
        <v>1.3214986024665882E-5</v>
      </c>
      <c r="H401" s="331">
        <v>126304</v>
      </c>
      <c r="I401" s="331">
        <v>0</v>
      </c>
      <c r="J401" s="331">
        <f t="shared" si="13"/>
        <v>126304</v>
      </c>
      <c r="K401" s="199">
        <v>2.31</v>
      </c>
      <c r="L401" s="199">
        <v>1.93</v>
      </c>
    </row>
    <row r="402" spans="1:12" ht="15" customHeight="1" x14ac:dyDescent="0.25">
      <c r="A402" s="49">
        <v>1984</v>
      </c>
      <c r="B402" s="330" t="s">
        <v>13</v>
      </c>
      <c r="C402" s="331">
        <v>4893071573</v>
      </c>
      <c r="D402" s="331">
        <v>3432277920</v>
      </c>
      <c r="E402" s="331">
        <v>65473805</v>
      </c>
      <c r="F402" s="331">
        <v>63099</v>
      </c>
      <c r="G402" s="332">
        <f t="shared" si="12"/>
        <v>1.2895580834782938E-5</v>
      </c>
      <c r="H402" s="331">
        <v>145983</v>
      </c>
      <c r="I402" s="331">
        <v>0</v>
      </c>
      <c r="J402" s="331">
        <f t="shared" si="13"/>
        <v>145983</v>
      </c>
      <c r="K402" s="199">
        <v>1.91</v>
      </c>
      <c r="L402" s="199">
        <v>1.93</v>
      </c>
    </row>
    <row r="403" spans="1:12" ht="15" customHeight="1" x14ac:dyDescent="0.25">
      <c r="A403" s="49">
        <v>1985</v>
      </c>
      <c r="B403" s="330" t="s">
        <v>13</v>
      </c>
      <c r="C403" s="331">
        <v>5239553269</v>
      </c>
      <c r="D403" s="331">
        <v>3662899628</v>
      </c>
      <c r="E403" s="331">
        <v>58863124</v>
      </c>
      <c r="F403" s="331">
        <v>53973</v>
      </c>
      <c r="G403" s="332">
        <f t="shared" si="12"/>
        <v>1.0301069047113833E-5</v>
      </c>
      <c r="H403" s="331">
        <v>168082</v>
      </c>
      <c r="I403" s="331">
        <v>0</v>
      </c>
      <c r="J403" s="331">
        <f t="shared" si="13"/>
        <v>168082</v>
      </c>
      <c r="K403" s="199">
        <v>1.61</v>
      </c>
      <c r="L403" s="199">
        <v>1.93</v>
      </c>
    </row>
    <row r="404" spans="1:12" ht="15" customHeight="1" x14ac:dyDescent="0.25">
      <c r="A404" s="49">
        <v>1986</v>
      </c>
      <c r="B404" s="330" t="s">
        <v>13</v>
      </c>
      <c r="C404" s="331">
        <v>5728374726</v>
      </c>
      <c r="D404" s="331">
        <v>3930924709</v>
      </c>
      <c r="E404" s="331">
        <v>66194166</v>
      </c>
      <c r="F404" s="331">
        <v>48995</v>
      </c>
      <c r="G404" s="332">
        <f t="shared" si="12"/>
        <v>8.5530368286873836E-6</v>
      </c>
      <c r="H404" s="331">
        <v>201732</v>
      </c>
      <c r="I404" s="331">
        <v>0</v>
      </c>
      <c r="J404" s="331">
        <f t="shared" si="13"/>
        <v>201732</v>
      </c>
      <c r="K404" s="199">
        <v>1.68</v>
      </c>
      <c r="L404" s="199">
        <v>1.93</v>
      </c>
    </row>
    <row r="405" spans="1:12" ht="15" customHeight="1" x14ac:dyDescent="0.25">
      <c r="A405" s="49">
        <v>1987</v>
      </c>
      <c r="B405" s="330" t="s">
        <v>13</v>
      </c>
      <c r="C405" s="331">
        <v>6401716836</v>
      </c>
      <c r="D405" s="331">
        <v>4388697390</v>
      </c>
      <c r="E405" s="331">
        <v>76277802</v>
      </c>
      <c r="F405" s="331">
        <v>43496</v>
      </c>
      <c r="G405" s="332">
        <f t="shared" si="12"/>
        <v>6.7944273566429271E-6</v>
      </c>
      <c r="H405" s="331">
        <v>253904</v>
      </c>
      <c r="I405" s="331">
        <v>0</v>
      </c>
      <c r="J405" s="331">
        <f t="shared" si="13"/>
        <v>253904</v>
      </c>
      <c r="K405" s="199">
        <v>1.74</v>
      </c>
      <c r="L405" s="199">
        <v>1.93</v>
      </c>
    </row>
    <row r="406" spans="1:12" ht="15" customHeight="1" x14ac:dyDescent="0.25">
      <c r="A406" s="49">
        <v>1988</v>
      </c>
      <c r="B406" s="330" t="s">
        <v>13</v>
      </c>
      <c r="C406" s="331">
        <v>7557582256</v>
      </c>
      <c r="D406" s="331">
        <v>3305279470</v>
      </c>
      <c r="E406" s="331">
        <v>41953029</v>
      </c>
      <c r="F406" s="331">
        <v>44179</v>
      </c>
      <c r="G406" s="332">
        <f t="shared" si="12"/>
        <v>5.8456525517702546E-6</v>
      </c>
      <c r="H406" s="331">
        <v>285188</v>
      </c>
      <c r="I406" s="331">
        <v>0</v>
      </c>
      <c r="J406" s="331">
        <f t="shared" si="13"/>
        <v>285188</v>
      </c>
      <c r="K406" s="199">
        <v>1.27</v>
      </c>
      <c r="L406" s="199">
        <v>1.93</v>
      </c>
    </row>
    <row r="407" spans="1:12" ht="15" customHeight="1" x14ac:dyDescent="0.25">
      <c r="A407" s="49">
        <v>1989</v>
      </c>
      <c r="B407" s="330" t="s">
        <v>13</v>
      </c>
      <c r="C407" s="331">
        <v>9168860838</v>
      </c>
      <c r="D407" s="331">
        <v>5518072570</v>
      </c>
      <c r="E407" s="331">
        <v>69561813</v>
      </c>
      <c r="F407" s="331">
        <v>35357</v>
      </c>
      <c r="G407" s="332">
        <f t="shared" si="12"/>
        <v>3.8562042356956976E-6</v>
      </c>
      <c r="H407" s="331">
        <v>339810</v>
      </c>
      <c r="I407" s="331">
        <v>0</v>
      </c>
      <c r="J407" s="331">
        <f t="shared" si="13"/>
        <v>339810</v>
      </c>
      <c r="K407" s="199">
        <v>1.26</v>
      </c>
      <c r="L407" s="199">
        <v>1.93</v>
      </c>
    </row>
    <row r="408" spans="1:12" ht="15" customHeight="1" x14ac:dyDescent="0.25">
      <c r="A408" s="49">
        <v>1990</v>
      </c>
      <c r="B408" s="330" t="s">
        <v>13</v>
      </c>
      <c r="C408" s="331">
        <v>9329946462</v>
      </c>
      <c r="D408" s="331">
        <v>6228108191</v>
      </c>
      <c r="E408" s="331">
        <v>80119597</v>
      </c>
      <c r="F408" s="331">
        <v>45126</v>
      </c>
      <c r="G408" s="332">
        <f t="shared" si="12"/>
        <v>4.8366837027194081E-6</v>
      </c>
      <c r="H408" s="331">
        <v>407696</v>
      </c>
      <c r="I408" s="331">
        <v>0</v>
      </c>
      <c r="J408" s="331">
        <f t="shared" si="13"/>
        <v>407696</v>
      </c>
      <c r="K408" s="199">
        <v>1.29</v>
      </c>
      <c r="L408" s="199">
        <v>1.93</v>
      </c>
    </row>
    <row r="409" spans="1:12" ht="15" customHeight="1" x14ac:dyDescent="0.25">
      <c r="A409" s="49">
        <v>1991</v>
      </c>
      <c r="B409" s="330" t="s">
        <v>13</v>
      </c>
      <c r="C409" s="331">
        <v>9594266532</v>
      </c>
      <c r="D409" s="331">
        <v>3339002701</v>
      </c>
      <c r="E409" s="331">
        <v>44850728</v>
      </c>
      <c r="F409" s="331">
        <v>76036</v>
      </c>
      <c r="G409" s="332">
        <f t="shared" si="12"/>
        <v>7.9251498534458274E-6</v>
      </c>
      <c r="H409" s="331">
        <v>420991</v>
      </c>
      <c r="I409" s="331">
        <v>0</v>
      </c>
      <c r="J409" s="331">
        <f t="shared" si="13"/>
        <v>420991</v>
      </c>
      <c r="K409" s="199">
        <v>1.34</v>
      </c>
      <c r="L409" s="199">
        <v>1.93</v>
      </c>
    </row>
    <row r="410" spans="1:12" ht="15" customHeight="1" x14ac:dyDescent="0.25">
      <c r="A410" s="49">
        <v>1992</v>
      </c>
      <c r="B410" s="330" t="s">
        <v>13</v>
      </c>
      <c r="C410" s="331">
        <v>10154831424</v>
      </c>
      <c r="D410" s="331">
        <v>7041890165</v>
      </c>
      <c r="E410" s="331">
        <v>42810428</v>
      </c>
      <c r="F410" s="331">
        <v>130151</v>
      </c>
      <c r="G410" s="332">
        <f t="shared" si="12"/>
        <v>1.2816657861242306E-5</v>
      </c>
      <c r="H410" s="331">
        <v>362123</v>
      </c>
      <c r="I410" s="331">
        <v>0</v>
      </c>
      <c r="J410" s="331">
        <f t="shared" si="13"/>
        <v>362123</v>
      </c>
      <c r="K410" s="199">
        <v>0.61</v>
      </c>
      <c r="L410" s="199">
        <v>1.93</v>
      </c>
    </row>
    <row r="411" spans="1:12" ht="15" customHeight="1" x14ac:dyDescent="0.25">
      <c r="A411" s="49">
        <v>1993</v>
      </c>
      <c r="B411" s="330" t="s">
        <v>13</v>
      </c>
      <c r="C411" s="331">
        <v>10291453027</v>
      </c>
      <c r="D411" s="331">
        <v>7248804637</v>
      </c>
      <c r="E411" s="331">
        <v>71633429</v>
      </c>
      <c r="F411" s="331">
        <v>145380</v>
      </c>
      <c r="G411" s="332">
        <f t="shared" si="12"/>
        <v>1.4126285143467137E-5</v>
      </c>
      <c r="H411" s="331">
        <v>310155</v>
      </c>
      <c r="I411" s="331">
        <v>0</v>
      </c>
      <c r="J411" s="331">
        <f t="shared" si="13"/>
        <v>310155</v>
      </c>
      <c r="K411" s="199">
        <v>0.99</v>
      </c>
      <c r="L411" s="199">
        <v>1.93</v>
      </c>
    </row>
    <row r="412" spans="1:12" ht="15" customHeight="1" x14ac:dyDescent="0.25">
      <c r="A412" s="49">
        <v>1994</v>
      </c>
      <c r="B412" s="330" t="s">
        <v>13</v>
      </c>
      <c r="C412" s="331">
        <v>10308833570</v>
      </c>
      <c r="D412" s="331">
        <v>7392581878</v>
      </c>
      <c r="E412" s="331">
        <v>78713504</v>
      </c>
      <c r="F412" s="331">
        <v>171681</v>
      </c>
      <c r="G412" s="332">
        <f t="shared" si="12"/>
        <v>1.6653775505660822E-5</v>
      </c>
      <c r="H412" s="331">
        <v>232859</v>
      </c>
      <c r="I412" s="331">
        <v>0</v>
      </c>
      <c r="J412" s="331">
        <f t="shared" si="13"/>
        <v>232859</v>
      </c>
      <c r="K412" s="199">
        <v>1.06</v>
      </c>
      <c r="L412" s="199">
        <v>1.93</v>
      </c>
    </row>
    <row r="413" spans="1:12" ht="15" customHeight="1" x14ac:dyDescent="0.25">
      <c r="A413" s="49">
        <v>1995</v>
      </c>
      <c r="B413" s="330" t="s">
        <v>13</v>
      </c>
      <c r="C413" s="331">
        <v>10293707439</v>
      </c>
      <c r="D413" s="331">
        <v>7384729766</v>
      </c>
      <c r="E413" s="331">
        <v>165012918</v>
      </c>
      <c r="F413" s="331">
        <v>180435</v>
      </c>
      <c r="G413" s="332">
        <f t="shared" si="12"/>
        <v>1.7528669924733033E-5</v>
      </c>
      <c r="H413" s="331">
        <v>213496</v>
      </c>
      <c r="I413" s="331">
        <v>0</v>
      </c>
      <c r="J413" s="331">
        <f t="shared" si="13"/>
        <v>213496</v>
      </c>
      <c r="K413" s="199">
        <v>2.23</v>
      </c>
      <c r="L413" s="199">
        <v>1.91</v>
      </c>
    </row>
    <row r="414" spans="1:12" ht="15" customHeight="1" x14ac:dyDescent="0.25">
      <c r="A414" s="49">
        <v>1996</v>
      </c>
      <c r="B414" s="330" t="s">
        <v>13</v>
      </c>
      <c r="C414" s="331">
        <v>10445390636</v>
      </c>
      <c r="D414" s="331">
        <v>7422233967</v>
      </c>
      <c r="E414" s="331">
        <v>152010054</v>
      </c>
      <c r="F414" s="331">
        <v>173196</v>
      </c>
      <c r="G414" s="332">
        <f t="shared" si="12"/>
        <v>1.6581093616841922E-5</v>
      </c>
      <c r="H414" s="331">
        <v>211267</v>
      </c>
      <c r="I414" s="331">
        <v>0</v>
      </c>
      <c r="J414" s="331">
        <f t="shared" si="13"/>
        <v>211267</v>
      </c>
      <c r="K414" s="199">
        <v>2.0499999999999998</v>
      </c>
      <c r="L414" s="199">
        <v>1.76</v>
      </c>
    </row>
    <row r="415" spans="1:12" ht="15" customHeight="1" x14ac:dyDescent="0.25">
      <c r="A415" s="49">
        <v>1997</v>
      </c>
      <c r="B415" s="330" t="s">
        <v>13</v>
      </c>
      <c r="C415" s="331">
        <v>10743854341</v>
      </c>
      <c r="D415" s="331">
        <v>7466467895</v>
      </c>
      <c r="E415" s="331">
        <v>142901211</v>
      </c>
      <c r="F415" s="331">
        <v>154337</v>
      </c>
      <c r="G415" s="332">
        <f t="shared" si="12"/>
        <v>1.4365142629589565E-5</v>
      </c>
      <c r="H415" s="331">
        <v>216658</v>
      </c>
      <c r="I415" s="331">
        <v>0</v>
      </c>
      <c r="J415" s="331">
        <f t="shared" si="13"/>
        <v>216658</v>
      </c>
      <c r="K415" s="199">
        <v>1.91</v>
      </c>
      <c r="L415" s="199">
        <v>1.69</v>
      </c>
    </row>
    <row r="416" spans="1:12" ht="15" customHeight="1" x14ac:dyDescent="0.25">
      <c r="A416" s="49">
        <v>1998</v>
      </c>
      <c r="B416" s="330" t="s">
        <v>13</v>
      </c>
      <c r="C416" s="331">
        <v>10919288964</v>
      </c>
      <c r="D416" s="331">
        <v>7583142735</v>
      </c>
      <c r="E416" s="331">
        <v>136838485</v>
      </c>
      <c r="F416" s="331">
        <v>141650</v>
      </c>
      <c r="G416" s="332">
        <f t="shared" si="12"/>
        <v>1.2972456399588694E-5</v>
      </c>
      <c r="H416" s="331">
        <v>225808</v>
      </c>
      <c r="I416" s="331">
        <v>0</v>
      </c>
      <c r="J416" s="331">
        <f t="shared" si="13"/>
        <v>225808</v>
      </c>
      <c r="K416" s="199">
        <v>1.8</v>
      </c>
      <c r="L416" s="199">
        <v>1.69</v>
      </c>
    </row>
    <row r="417" spans="1:12" ht="15" customHeight="1" x14ac:dyDescent="0.25">
      <c r="A417" s="49">
        <v>1999</v>
      </c>
      <c r="B417" s="330" t="s">
        <v>13</v>
      </c>
      <c r="C417" s="331">
        <v>11196736265</v>
      </c>
      <c r="D417" s="331">
        <v>7752452351</v>
      </c>
      <c r="E417" s="331">
        <v>135187357</v>
      </c>
      <c r="F417" s="331">
        <v>122597</v>
      </c>
      <c r="G417" s="332">
        <f t="shared" si="12"/>
        <v>1.0949351409055449E-5</v>
      </c>
      <c r="H417" s="331">
        <v>250731</v>
      </c>
      <c r="I417" s="331">
        <v>0</v>
      </c>
      <c r="J417" s="331">
        <f t="shared" si="13"/>
        <v>250731</v>
      </c>
      <c r="K417" s="199">
        <v>1.74</v>
      </c>
      <c r="L417" s="199">
        <v>1.69</v>
      </c>
    </row>
    <row r="418" spans="1:12" ht="15" customHeight="1" x14ac:dyDescent="0.25">
      <c r="A418" s="49">
        <v>2000</v>
      </c>
      <c r="B418" s="330" t="s">
        <v>13</v>
      </c>
      <c r="C418" s="331">
        <v>11994035797</v>
      </c>
      <c r="D418" s="331">
        <v>8223003488</v>
      </c>
      <c r="E418" s="331">
        <v>138452759</v>
      </c>
      <c r="F418" s="331">
        <v>95623</v>
      </c>
      <c r="G418" s="332">
        <f t="shared" si="12"/>
        <v>7.972545823476502E-6</v>
      </c>
      <c r="H418" s="331">
        <v>315028</v>
      </c>
      <c r="I418" s="331">
        <v>0</v>
      </c>
      <c r="J418" s="331">
        <f t="shared" si="13"/>
        <v>315028</v>
      </c>
      <c r="K418" s="199">
        <v>1.68</v>
      </c>
      <c r="L418" s="199">
        <v>1.69</v>
      </c>
    </row>
    <row r="419" spans="1:12" ht="15" customHeight="1" x14ac:dyDescent="0.25">
      <c r="A419" s="49">
        <v>2001</v>
      </c>
      <c r="B419" s="330" t="s">
        <v>13</v>
      </c>
      <c r="C419" s="331">
        <v>12313635058</v>
      </c>
      <c r="D419" s="331">
        <v>8465865245</v>
      </c>
      <c r="E419" s="331">
        <v>96861849</v>
      </c>
      <c r="F419" s="331">
        <v>134795</v>
      </c>
      <c r="G419" s="332">
        <f t="shared" si="12"/>
        <v>1.0946808100539372E-5</v>
      </c>
      <c r="H419" s="331">
        <v>306526</v>
      </c>
      <c r="I419" s="331">
        <v>0</v>
      </c>
      <c r="J419" s="331">
        <f t="shared" si="13"/>
        <v>306526</v>
      </c>
      <c r="K419" s="199">
        <v>1.1399999999999999</v>
      </c>
      <c r="L419" s="199">
        <v>1.69</v>
      </c>
    </row>
    <row r="420" spans="1:12" ht="15" customHeight="1" x14ac:dyDescent="0.25">
      <c r="A420" s="49">
        <v>2002</v>
      </c>
      <c r="B420" s="330" t="s">
        <v>13</v>
      </c>
      <c r="C420" s="331">
        <v>12712660136</v>
      </c>
      <c r="D420" s="331">
        <v>8710300315</v>
      </c>
      <c r="E420" s="331">
        <v>106250330</v>
      </c>
      <c r="F420" s="331">
        <v>151793</v>
      </c>
      <c r="G420" s="332">
        <f t="shared" si="12"/>
        <v>1.194030190189299E-5</v>
      </c>
      <c r="H420" s="331">
        <v>304616</v>
      </c>
      <c r="I420" s="331">
        <v>0</v>
      </c>
      <c r="J420" s="331">
        <f t="shared" si="13"/>
        <v>304616</v>
      </c>
      <c r="K420" s="199">
        <v>1.22</v>
      </c>
      <c r="L420" s="199">
        <v>1.69</v>
      </c>
    </row>
    <row r="421" spans="1:12" x14ac:dyDescent="0.25">
      <c r="A421" s="49">
        <v>2003</v>
      </c>
      <c r="B421" s="330" t="s">
        <v>13</v>
      </c>
      <c r="C421" s="331">
        <v>13396530469</v>
      </c>
      <c r="D421" s="331">
        <v>9171359325</v>
      </c>
      <c r="E421" s="331">
        <v>156837214</v>
      </c>
      <c r="F421" s="331">
        <v>123615</v>
      </c>
      <c r="G421" s="332">
        <f t="shared" si="12"/>
        <v>9.2273891576665356E-6</v>
      </c>
      <c r="H421" s="331">
        <v>347155</v>
      </c>
      <c r="I421" s="331">
        <v>0</v>
      </c>
      <c r="J421" s="331">
        <f t="shared" si="13"/>
        <v>347155</v>
      </c>
      <c r="K421" s="199">
        <v>1.71</v>
      </c>
      <c r="L421" s="199">
        <v>1.69</v>
      </c>
    </row>
    <row r="422" spans="1:12" ht="15" customHeight="1" x14ac:dyDescent="0.25">
      <c r="A422" s="49">
        <v>2004</v>
      </c>
      <c r="B422" s="330" t="s">
        <v>13</v>
      </c>
      <c r="C422" s="331">
        <v>14480920486</v>
      </c>
      <c r="D422" s="331">
        <v>9767677716</v>
      </c>
      <c r="E422" s="331">
        <v>119369852</v>
      </c>
      <c r="F422" s="331">
        <v>104632</v>
      </c>
      <c r="G422" s="332">
        <f t="shared" si="12"/>
        <v>7.2255075291074972E-6</v>
      </c>
      <c r="H422" s="331">
        <v>387834</v>
      </c>
      <c r="I422" s="331">
        <v>0</v>
      </c>
      <c r="J422" s="331">
        <f t="shared" si="13"/>
        <v>387834</v>
      </c>
      <c r="K422" s="199">
        <v>1.22</v>
      </c>
      <c r="L422" s="199">
        <v>1.69</v>
      </c>
    </row>
    <row r="423" spans="1:12" ht="15" customHeight="1" x14ac:dyDescent="0.25">
      <c r="A423" s="49">
        <v>2005</v>
      </c>
      <c r="B423" s="330" t="s">
        <v>13</v>
      </c>
      <c r="C423" s="331">
        <v>15493068710</v>
      </c>
      <c r="D423" s="331">
        <v>10560077633</v>
      </c>
      <c r="E423" s="331">
        <v>133042056</v>
      </c>
      <c r="F423" s="331">
        <v>82253</v>
      </c>
      <c r="G423" s="332">
        <f t="shared" si="12"/>
        <v>5.3090192485178749E-6</v>
      </c>
      <c r="H423" s="331">
        <v>456442</v>
      </c>
      <c r="I423" s="331">
        <v>0</v>
      </c>
      <c r="J423" s="331">
        <f t="shared" si="13"/>
        <v>456442</v>
      </c>
      <c r="K423" s="199">
        <v>1.26</v>
      </c>
      <c r="L423" s="199">
        <v>1.69</v>
      </c>
    </row>
    <row r="424" spans="1:12" ht="15" customHeight="1" x14ac:dyDescent="0.25">
      <c r="A424" s="49">
        <v>2006</v>
      </c>
      <c r="B424" s="330" t="s">
        <v>13</v>
      </c>
      <c r="C424" s="331">
        <v>16546719652</v>
      </c>
      <c r="D424" s="331">
        <v>11373436948</v>
      </c>
      <c r="E424" s="331">
        <v>142993563</v>
      </c>
      <c r="F424" s="331">
        <v>90618</v>
      </c>
      <c r="G424" s="332">
        <f t="shared" si="12"/>
        <v>5.476493341630225E-6</v>
      </c>
      <c r="H424" s="331">
        <v>530815</v>
      </c>
      <c r="I424" s="331">
        <v>0</v>
      </c>
      <c r="J424" s="331">
        <f t="shared" si="13"/>
        <v>530815</v>
      </c>
      <c r="K424" s="199">
        <v>1.26</v>
      </c>
      <c r="L424" s="199">
        <v>1.69</v>
      </c>
    </row>
    <row r="425" spans="1:12" ht="15" customHeight="1" x14ac:dyDescent="0.25">
      <c r="A425" s="49">
        <v>2007</v>
      </c>
      <c r="B425" s="330" t="s">
        <v>13</v>
      </c>
      <c r="C425" s="331">
        <v>17534321756</v>
      </c>
      <c r="D425" s="331">
        <v>12077620086</v>
      </c>
      <c r="E425" s="331">
        <v>99933311</v>
      </c>
      <c r="F425" s="331">
        <v>108257</v>
      </c>
      <c r="G425" s="332">
        <f t="shared" si="12"/>
        <v>6.1740055592943575E-6</v>
      </c>
      <c r="H425" s="331">
        <v>556334</v>
      </c>
      <c r="I425" s="331">
        <v>0</v>
      </c>
      <c r="J425" s="331">
        <f t="shared" si="13"/>
        <v>556334</v>
      </c>
      <c r="K425" s="199">
        <v>0.83</v>
      </c>
      <c r="L425" s="199">
        <v>1.69</v>
      </c>
    </row>
    <row r="426" spans="1:12" ht="15" customHeight="1" x14ac:dyDescent="0.25">
      <c r="A426" s="49">
        <v>2008</v>
      </c>
      <c r="B426" s="330" t="s">
        <v>13</v>
      </c>
      <c r="C426" s="331">
        <v>17657329270</v>
      </c>
      <c r="D426" s="331">
        <v>6452293465</v>
      </c>
      <c r="E426" s="331">
        <v>47305173</v>
      </c>
      <c r="F426" s="331">
        <v>212675</v>
      </c>
      <c r="G426" s="332">
        <f t="shared" si="12"/>
        <v>1.2044573488321204E-5</v>
      </c>
      <c r="H426" s="331">
        <v>424975</v>
      </c>
      <c r="I426" s="331">
        <v>0</v>
      </c>
      <c r="J426" s="331">
        <f t="shared" si="13"/>
        <v>424975</v>
      </c>
      <c r="K426" s="199">
        <v>0.7</v>
      </c>
      <c r="L426" s="199">
        <v>1.69</v>
      </c>
    </row>
    <row r="427" spans="1:12" ht="15" customHeight="1" x14ac:dyDescent="0.25">
      <c r="A427" s="49">
        <v>2009</v>
      </c>
      <c r="B427" s="330" t="s">
        <v>13</v>
      </c>
      <c r="C427" s="331">
        <v>16614728942</v>
      </c>
      <c r="D427" s="331">
        <v>5900835748</v>
      </c>
      <c r="E427" s="331">
        <v>42092871</v>
      </c>
      <c r="F427" s="331">
        <v>374181</v>
      </c>
      <c r="G427" s="332">
        <f t="shared" si="12"/>
        <v>2.2521041499155383E-5</v>
      </c>
      <c r="H427" s="331">
        <v>130687</v>
      </c>
      <c r="I427" s="331">
        <v>0</v>
      </c>
      <c r="J427" s="331">
        <f t="shared" si="13"/>
        <v>130687</v>
      </c>
      <c r="K427" s="199">
        <v>0.7</v>
      </c>
      <c r="L427" s="199">
        <v>1.89</v>
      </c>
    </row>
    <row r="428" spans="1:12" ht="15" customHeight="1" x14ac:dyDescent="0.25">
      <c r="A428" s="49">
        <v>2010</v>
      </c>
      <c r="B428" s="330" t="s">
        <v>13</v>
      </c>
      <c r="C428" s="331">
        <v>16297103130</v>
      </c>
      <c r="D428" s="331">
        <v>10922158915</v>
      </c>
      <c r="E428" s="331">
        <v>191956687</v>
      </c>
      <c r="F428" s="331">
        <v>304881</v>
      </c>
      <c r="G428" s="332">
        <f t="shared" si="12"/>
        <v>1.870768059623858E-5</v>
      </c>
      <c r="H428" s="331">
        <v>2823</v>
      </c>
      <c r="I428" s="331">
        <v>14642</v>
      </c>
      <c r="J428" s="331">
        <f t="shared" si="13"/>
        <v>-11819</v>
      </c>
      <c r="K428" s="199">
        <v>1.8</v>
      </c>
      <c r="L428" s="199">
        <v>1.96</v>
      </c>
    </row>
    <row r="429" spans="1:12" ht="15" customHeight="1" x14ac:dyDescent="0.25">
      <c r="A429" s="49">
        <v>2011</v>
      </c>
      <c r="B429" s="330" t="s">
        <v>13</v>
      </c>
      <c r="C429" s="331">
        <v>16728000105</v>
      </c>
      <c r="D429" s="331">
        <v>10989382103</v>
      </c>
      <c r="E429" s="331">
        <v>290935702</v>
      </c>
      <c r="F429" s="331">
        <v>245334</v>
      </c>
      <c r="G429" s="332">
        <f t="shared" si="12"/>
        <v>1.4666068774513557E-5</v>
      </c>
      <c r="H429" s="331">
        <v>15627</v>
      </c>
      <c r="I429" s="331">
        <v>0</v>
      </c>
      <c r="J429" s="331">
        <f t="shared" si="13"/>
        <v>15627</v>
      </c>
      <c r="K429" s="199">
        <v>2.6</v>
      </c>
      <c r="L429" s="199">
        <v>1.96</v>
      </c>
    </row>
    <row r="430" spans="1:12" ht="15" customHeight="1" x14ac:dyDescent="0.25">
      <c r="A430" s="49">
        <v>2012</v>
      </c>
      <c r="B430" s="330" t="s">
        <v>13</v>
      </c>
      <c r="C430" s="331">
        <v>17543134950</v>
      </c>
      <c r="D430" s="331">
        <v>12051346230</v>
      </c>
      <c r="E430" s="331">
        <v>317068175</v>
      </c>
      <c r="F430" s="331">
        <v>225039</v>
      </c>
      <c r="G430" s="332">
        <f t="shared" si="12"/>
        <v>1.2827752886892088E-5</v>
      </c>
      <c r="H430" s="331">
        <v>102020</v>
      </c>
      <c r="I430" s="331">
        <v>0</v>
      </c>
      <c r="J430" s="331">
        <f t="shared" si="13"/>
        <v>102020</v>
      </c>
      <c r="K430" s="199">
        <v>2.63</v>
      </c>
      <c r="L430" s="199">
        <v>1.96</v>
      </c>
    </row>
    <row r="431" spans="1:12" ht="15" customHeight="1" x14ac:dyDescent="0.25">
      <c r="A431" s="49">
        <v>2013</v>
      </c>
      <c r="B431" s="330" t="s">
        <v>13</v>
      </c>
      <c r="C431" s="331">
        <v>18320692104</v>
      </c>
      <c r="D431" s="331">
        <v>12628680070</v>
      </c>
      <c r="E431" s="331">
        <v>409378593</v>
      </c>
      <c r="F431" s="331">
        <v>198516</v>
      </c>
      <c r="G431" s="332">
        <f t="shared" si="12"/>
        <v>1.0835616846410379E-5</v>
      </c>
      <c r="H431" s="331">
        <v>301090</v>
      </c>
      <c r="I431" s="331">
        <v>0</v>
      </c>
      <c r="J431" s="331">
        <f t="shared" si="13"/>
        <v>301090</v>
      </c>
      <c r="K431" s="199">
        <v>3.24</v>
      </c>
      <c r="L431" s="199">
        <v>1.96</v>
      </c>
    </row>
    <row r="432" spans="1:12" ht="15" customHeight="1" x14ac:dyDescent="0.25">
      <c r="A432" s="49">
        <v>2014</v>
      </c>
      <c r="B432" s="330" t="s">
        <v>13</v>
      </c>
      <c r="C432" s="331">
        <v>19090718489</v>
      </c>
      <c r="D432" s="331">
        <v>13165998726</v>
      </c>
      <c r="E432" s="331">
        <v>234921748</v>
      </c>
      <c r="F432" s="331">
        <v>172617</v>
      </c>
      <c r="G432" s="332">
        <f t="shared" si="12"/>
        <v>9.0419331309851572E-6</v>
      </c>
      <c r="H432" s="331">
        <v>398358</v>
      </c>
      <c r="I432" s="331">
        <v>0</v>
      </c>
      <c r="J432" s="331">
        <f t="shared" si="13"/>
        <v>398358</v>
      </c>
      <c r="K432" s="333">
        <v>1.7843063248675572</v>
      </c>
      <c r="L432" s="199">
        <v>1.96</v>
      </c>
    </row>
    <row r="433" spans="1:12" ht="15" customHeight="1" x14ac:dyDescent="0.25">
      <c r="A433" s="49">
        <v>2015</v>
      </c>
      <c r="B433" s="330" t="s">
        <v>13</v>
      </c>
      <c r="C433" s="334">
        <v>20331481000</v>
      </c>
      <c r="D433" s="334">
        <v>13800872000</v>
      </c>
      <c r="E433" s="334">
        <v>204087000</v>
      </c>
      <c r="F433" s="331">
        <v>134765</v>
      </c>
      <c r="G433" s="332">
        <f t="shared" si="12"/>
        <v>6.62839072077435E-6</v>
      </c>
      <c r="H433" s="331">
        <v>474739</v>
      </c>
      <c r="I433" s="199">
        <v>0</v>
      </c>
      <c r="J433" s="331">
        <f t="shared" si="13"/>
        <v>474739</v>
      </c>
      <c r="K433" s="199">
        <v>1.4</v>
      </c>
      <c r="L433" s="199">
        <v>1.96</v>
      </c>
    </row>
    <row r="434" spans="1:12" ht="15" customHeight="1" x14ac:dyDescent="0.25">
      <c r="A434" s="49">
        <v>1980</v>
      </c>
      <c r="B434" s="330" t="s">
        <v>14</v>
      </c>
      <c r="C434" s="331">
        <v>11293635034</v>
      </c>
      <c r="D434" s="331">
        <v>5627331483</v>
      </c>
      <c r="E434" s="331">
        <v>133521749</v>
      </c>
      <c r="F434" s="331">
        <v>172225</v>
      </c>
      <c r="G434" s="332">
        <f t="shared" si="12"/>
        <v>1.5249740183874265E-5</v>
      </c>
      <c r="H434" s="331">
        <v>115012</v>
      </c>
      <c r="I434" s="331">
        <v>0</v>
      </c>
      <c r="J434" s="331">
        <f t="shared" si="13"/>
        <v>115012</v>
      </c>
      <c r="K434" s="199">
        <v>2.37</v>
      </c>
      <c r="L434" s="199">
        <v>1.49</v>
      </c>
    </row>
    <row r="435" spans="1:12" ht="15" customHeight="1" x14ac:dyDescent="0.25">
      <c r="A435" s="49">
        <v>1981</v>
      </c>
      <c r="B435" s="330" t="s">
        <v>14</v>
      </c>
      <c r="C435" s="331">
        <v>11884032176</v>
      </c>
      <c r="D435" s="331">
        <v>5880051921</v>
      </c>
      <c r="E435" s="331">
        <v>136599239</v>
      </c>
      <c r="F435" s="331">
        <v>163989</v>
      </c>
      <c r="G435" s="332">
        <f t="shared" si="12"/>
        <v>1.3799104341973973E-5</v>
      </c>
      <c r="H435" s="331">
        <v>100901</v>
      </c>
      <c r="I435" s="331">
        <v>0</v>
      </c>
      <c r="J435" s="331">
        <f t="shared" si="13"/>
        <v>100901</v>
      </c>
      <c r="K435" s="199">
        <v>2.3199999999999998</v>
      </c>
      <c r="L435" s="199">
        <v>1.5</v>
      </c>
    </row>
    <row r="436" spans="1:12" ht="15" customHeight="1" x14ac:dyDescent="0.25">
      <c r="A436" s="49">
        <v>1982</v>
      </c>
      <c r="B436" s="330" t="s">
        <v>14</v>
      </c>
      <c r="C436" s="331">
        <v>11614993043</v>
      </c>
      <c r="D436" s="331">
        <v>5986179367</v>
      </c>
      <c r="E436" s="331">
        <v>135917005</v>
      </c>
      <c r="F436" s="331">
        <v>282336</v>
      </c>
      <c r="G436" s="332">
        <f t="shared" si="12"/>
        <v>2.4307892303917932E-5</v>
      </c>
      <c r="H436" s="331">
        <v>30</v>
      </c>
      <c r="I436" s="331">
        <v>63362</v>
      </c>
      <c r="J436" s="331">
        <f t="shared" si="13"/>
        <v>-63332</v>
      </c>
      <c r="K436" s="199">
        <v>2.27</v>
      </c>
      <c r="L436" s="199">
        <v>1.91</v>
      </c>
    </row>
    <row r="437" spans="1:12" ht="15" customHeight="1" x14ac:dyDescent="0.25">
      <c r="A437" s="49">
        <v>1983</v>
      </c>
      <c r="B437" s="330" t="s">
        <v>14</v>
      </c>
      <c r="C437" s="331">
        <v>11784375793</v>
      </c>
      <c r="D437" s="331">
        <v>6237544175</v>
      </c>
      <c r="E437" s="331">
        <v>185384010</v>
      </c>
      <c r="F437" s="331">
        <v>227552</v>
      </c>
      <c r="G437" s="332">
        <f t="shared" si="12"/>
        <v>1.9309635401746732E-5</v>
      </c>
      <c r="H437" s="331">
        <v>69</v>
      </c>
      <c r="I437" s="331">
        <v>126579</v>
      </c>
      <c r="J437" s="331">
        <f t="shared" si="13"/>
        <v>-126510</v>
      </c>
      <c r="K437" s="199">
        <v>2.97</v>
      </c>
      <c r="L437" s="199">
        <v>2.1</v>
      </c>
    </row>
    <row r="438" spans="1:12" ht="15" customHeight="1" x14ac:dyDescent="0.25">
      <c r="A438" s="49">
        <v>1984</v>
      </c>
      <c r="B438" s="330" t="s">
        <v>14</v>
      </c>
      <c r="C438" s="331">
        <v>12589552163</v>
      </c>
      <c r="D438" s="331">
        <v>6971564962</v>
      </c>
      <c r="E438" s="331">
        <v>238733901</v>
      </c>
      <c r="F438" s="331">
        <v>146806</v>
      </c>
      <c r="G438" s="332">
        <f t="shared" si="12"/>
        <v>1.1660939015087029E-5</v>
      </c>
      <c r="H438" s="331">
        <v>0</v>
      </c>
      <c r="I438" s="331">
        <v>37558</v>
      </c>
      <c r="J438" s="331">
        <f t="shared" si="13"/>
        <v>-37558</v>
      </c>
      <c r="K438" s="199">
        <v>3.42</v>
      </c>
      <c r="L438" s="199">
        <v>2.1</v>
      </c>
    </row>
    <row r="439" spans="1:12" ht="15" customHeight="1" x14ac:dyDescent="0.25">
      <c r="A439" s="49">
        <v>1985</v>
      </c>
      <c r="B439" s="330" t="s">
        <v>14</v>
      </c>
      <c r="C439" s="331">
        <v>12838207109</v>
      </c>
      <c r="D439" s="331">
        <v>7280875868</v>
      </c>
      <c r="E439" s="331">
        <v>239529671</v>
      </c>
      <c r="F439" s="331">
        <v>171789</v>
      </c>
      <c r="G439" s="332">
        <f t="shared" si="12"/>
        <v>1.3381074050407734E-5</v>
      </c>
      <c r="H439" s="331">
        <v>50619</v>
      </c>
      <c r="I439" s="331">
        <v>0</v>
      </c>
      <c r="J439" s="331">
        <f t="shared" si="13"/>
        <v>50619</v>
      </c>
      <c r="K439" s="199">
        <v>3.29</v>
      </c>
      <c r="L439" s="199">
        <v>2.1</v>
      </c>
    </row>
    <row r="440" spans="1:12" ht="15" customHeight="1" x14ac:dyDescent="0.25">
      <c r="A440" s="49">
        <v>1986</v>
      </c>
      <c r="B440" s="330" t="s">
        <v>14</v>
      </c>
      <c r="C440" s="331">
        <v>13168583536</v>
      </c>
      <c r="D440" s="331">
        <v>7670518602</v>
      </c>
      <c r="E440" s="331">
        <v>244570818</v>
      </c>
      <c r="F440" s="331">
        <v>161328</v>
      </c>
      <c r="G440" s="332">
        <f t="shared" si="12"/>
        <v>1.2250975935184286E-5</v>
      </c>
      <c r="H440" s="331">
        <v>145471</v>
      </c>
      <c r="I440" s="331">
        <v>0</v>
      </c>
      <c r="J440" s="331">
        <f t="shared" si="13"/>
        <v>145471</v>
      </c>
      <c r="K440" s="199">
        <v>3.19</v>
      </c>
      <c r="L440" s="199">
        <v>2.1</v>
      </c>
    </row>
    <row r="441" spans="1:12" ht="15" customHeight="1" x14ac:dyDescent="0.25">
      <c r="A441" s="49">
        <v>1987</v>
      </c>
      <c r="B441" s="330" t="s">
        <v>14</v>
      </c>
      <c r="C441" s="331">
        <v>14161468246</v>
      </c>
      <c r="D441" s="331">
        <v>8098486268</v>
      </c>
      <c r="E441" s="331">
        <v>240002765</v>
      </c>
      <c r="F441" s="331">
        <v>121381</v>
      </c>
      <c r="G441" s="332">
        <f t="shared" si="12"/>
        <v>8.5712157730738737E-6</v>
      </c>
      <c r="H441" s="331">
        <v>282758</v>
      </c>
      <c r="I441" s="331">
        <v>0</v>
      </c>
      <c r="J441" s="331">
        <f t="shared" si="13"/>
        <v>282758</v>
      </c>
      <c r="K441" s="199">
        <v>2.96</v>
      </c>
      <c r="L441" s="199">
        <v>2.1</v>
      </c>
    </row>
    <row r="442" spans="1:12" ht="15" customHeight="1" x14ac:dyDescent="0.25">
      <c r="A442" s="49">
        <v>1988</v>
      </c>
      <c r="B442" s="330" t="s">
        <v>14</v>
      </c>
      <c r="C442" s="331">
        <v>15385865271</v>
      </c>
      <c r="D442" s="331">
        <v>8021562835</v>
      </c>
      <c r="E442" s="331">
        <v>223791510</v>
      </c>
      <c r="F442" s="331">
        <v>110005</v>
      </c>
      <c r="G442" s="332">
        <f t="shared" si="12"/>
        <v>7.1497441360898028E-6</v>
      </c>
      <c r="H442" s="331">
        <v>427446</v>
      </c>
      <c r="I442" s="331">
        <v>0</v>
      </c>
      <c r="J442" s="331">
        <f t="shared" si="13"/>
        <v>427446</v>
      </c>
      <c r="K442" s="199">
        <v>2.79</v>
      </c>
      <c r="L442" s="199">
        <v>2.1</v>
      </c>
    </row>
    <row r="443" spans="1:12" ht="15" customHeight="1" x14ac:dyDescent="0.25">
      <c r="A443" s="49">
        <v>1989</v>
      </c>
      <c r="B443" s="330" t="s">
        <v>14</v>
      </c>
      <c r="C443" s="331">
        <v>16427186235</v>
      </c>
      <c r="D443" s="331">
        <v>8644548729</v>
      </c>
      <c r="E443" s="331">
        <v>167704561</v>
      </c>
      <c r="F443" s="331">
        <v>119824</v>
      </c>
      <c r="G443" s="332">
        <f t="shared" si="12"/>
        <v>7.2942498055267221E-6</v>
      </c>
      <c r="H443" s="331">
        <v>517780</v>
      </c>
      <c r="I443" s="331">
        <v>0</v>
      </c>
      <c r="J443" s="331">
        <f t="shared" si="13"/>
        <v>517780</v>
      </c>
      <c r="K443" s="199">
        <v>1.94</v>
      </c>
      <c r="L443" s="199">
        <v>2.1</v>
      </c>
    </row>
    <row r="444" spans="1:12" ht="15" customHeight="1" x14ac:dyDescent="0.25">
      <c r="A444" s="49">
        <v>1990</v>
      </c>
      <c r="B444" s="330" t="s">
        <v>14</v>
      </c>
      <c r="C444" s="331">
        <v>17522652103</v>
      </c>
      <c r="D444" s="331">
        <v>9204238881</v>
      </c>
      <c r="E444" s="331">
        <v>147477750</v>
      </c>
      <c r="F444" s="331">
        <v>137744</v>
      </c>
      <c r="G444" s="332">
        <f t="shared" si="12"/>
        <v>7.8609105054603724E-6</v>
      </c>
      <c r="H444" s="331">
        <v>574799</v>
      </c>
      <c r="I444" s="331">
        <v>0</v>
      </c>
      <c r="J444" s="331">
        <f t="shared" si="13"/>
        <v>574799</v>
      </c>
      <c r="K444" s="199">
        <v>1.6</v>
      </c>
      <c r="L444" s="199">
        <v>2.1</v>
      </c>
    </row>
    <row r="445" spans="1:12" ht="15" customHeight="1" x14ac:dyDescent="0.25">
      <c r="A445" s="49">
        <v>1991</v>
      </c>
      <c r="B445" s="330" t="s">
        <v>14</v>
      </c>
      <c r="C445" s="331">
        <v>18165241738</v>
      </c>
      <c r="D445" s="331">
        <v>9540905147</v>
      </c>
      <c r="E445" s="331">
        <v>146922070</v>
      </c>
      <c r="F445" s="331">
        <v>179422</v>
      </c>
      <c r="G445" s="332">
        <f t="shared" si="12"/>
        <v>9.8772151005657047E-6</v>
      </c>
      <c r="H445" s="331">
        <v>594626</v>
      </c>
      <c r="I445" s="331">
        <v>0</v>
      </c>
      <c r="J445" s="331">
        <f t="shared" si="13"/>
        <v>594626</v>
      </c>
      <c r="K445" s="199">
        <v>1.54</v>
      </c>
      <c r="L445" s="199">
        <v>2.1</v>
      </c>
    </row>
    <row r="446" spans="1:12" ht="15" customHeight="1" x14ac:dyDescent="0.25">
      <c r="A446" s="49">
        <v>1992</v>
      </c>
      <c r="B446" s="330" t="s">
        <v>14</v>
      </c>
      <c r="C446" s="331">
        <v>19451213734</v>
      </c>
      <c r="D446" s="331">
        <v>10234874318</v>
      </c>
      <c r="E446" s="331">
        <v>157051056</v>
      </c>
      <c r="F446" s="331">
        <v>180461</v>
      </c>
      <c r="G446" s="332">
        <f t="shared" si="12"/>
        <v>9.2776215647952536E-6</v>
      </c>
      <c r="H446" s="331">
        <v>615474</v>
      </c>
      <c r="I446" s="331">
        <v>0</v>
      </c>
      <c r="J446" s="331">
        <f t="shared" si="13"/>
        <v>615474</v>
      </c>
      <c r="K446" s="199">
        <v>1.53</v>
      </c>
      <c r="L446" s="199">
        <v>2.1</v>
      </c>
    </row>
    <row r="447" spans="1:12" ht="15" customHeight="1" x14ac:dyDescent="0.25">
      <c r="A447" s="49">
        <v>1993</v>
      </c>
      <c r="B447" s="330" t="s">
        <v>14</v>
      </c>
      <c r="C447" s="331">
        <v>20497388944</v>
      </c>
      <c r="D447" s="331">
        <v>10657312965</v>
      </c>
      <c r="E447" s="331">
        <v>165352252</v>
      </c>
      <c r="F447" s="331">
        <v>166341</v>
      </c>
      <c r="G447" s="332">
        <f t="shared" si="12"/>
        <v>8.1152287471566647E-6</v>
      </c>
      <c r="H447" s="331">
        <v>655066</v>
      </c>
      <c r="I447" s="331">
        <v>0</v>
      </c>
      <c r="J447" s="331">
        <f t="shared" si="13"/>
        <v>655066</v>
      </c>
      <c r="K447" s="199">
        <v>1.55</v>
      </c>
      <c r="L447" s="199">
        <v>2.1</v>
      </c>
    </row>
    <row r="448" spans="1:12" ht="15" customHeight="1" x14ac:dyDescent="0.25">
      <c r="A448" s="49">
        <v>1994</v>
      </c>
      <c r="B448" s="330" t="s">
        <v>14</v>
      </c>
      <c r="C448" s="331">
        <v>21917269570</v>
      </c>
      <c r="D448" s="331">
        <v>11685369679</v>
      </c>
      <c r="E448" s="331">
        <v>150437201</v>
      </c>
      <c r="F448" s="331">
        <v>142755</v>
      </c>
      <c r="G448" s="332">
        <f t="shared" si="12"/>
        <v>6.513356946405437E-6</v>
      </c>
      <c r="H448" s="331">
        <v>708450</v>
      </c>
      <c r="I448" s="331">
        <v>0</v>
      </c>
      <c r="J448" s="331">
        <f t="shared" si="13"/>
        <v>708450</v>
      </c>
      <c r="K448" s="199">
        <v>1.29</v>
      </c>
      <c r="L448" s="199">
        <v>2.1</v>
      </c>
    </row>
    <row r="449" spans="1:12" ht="15" customHeight="1" x14ac:dyDescent="0.25">
      <c r="A449" s="49">
        <v>1995</v>
      </c>
      <c r="B449" s="330" t="s">
        <v>14</v>
      </c>
      <c r="C449" s="331">
        <v>23369604303</v>
      </c>
      <c r="D449" s="331">
        <v>12388365783</v>
      </c>
      <c r="E449" s="331">
        <v>118383258</v>
      </c>
      <c r="F449" s="331">
        <v>152972</v>
      </c>
      <c r="G449" s="332">
        <f t="shared" si="12"/>
        <v>6.5457676568517124E-6</v>
      </c>
      <c r="H449" s="331">
        <v>725149</v>
      </c>
      <c r="I449" s="331">
        <v>0</v>
      </c>
      <c r="J449" s="331">
        <f t="shared" si="13"/>
        <v>725149</v>
      </c>
      <c r="K449" s="199">
        <v>0.96</v>
      </c>
      <c r="L449" s="199">
        <v>2.1</v>
      </c>
    </row>
    <row r="450" spans="1:12" ht="15" customHeight="1" x14ac:dyDescent="0.25">
      <c r="A450" s="49">
        <v>1996</v>
      </c>
      <c r="B450" s="330" t="s">
        <v>14</v>
      </c>
      <c r="C450" s="331">
        <v>24686926996</v>
      </c>
      <c r="D450" s="331">
        <v>13111120712</v>
      </c>
      <c r="E450" s="331">
        <v>125430058</v>
      </c>
      <c r="F450" s="331">
        <v>178455</v>
      </c>
      <c r="G450" s="332">
        <f t="shared" ref="G450:G513" si="14">F450/C450</f>
        <v>7.228724742812862E-6</v>
      </c>
      <c r="H450" s="331">
        <v>718845</v>
      </c>
      <c r="I450" s="331">
        <v>0</v>
      </c>
      <c r="J450" s="331">
        <f t="shared" ref="J450:J513" si="15">H450-I450</f>
        <v>718845</v>
      </c>
      <c r="K450" s="199">
        <v>0.96</v>
      </c>
      <c r="L450" s="199">
        <v>2.1</v>
      </c>
    </row>
    <row r="451" spans="1:12" ht="15" customHeight="1" x14ac:dyDescent="0.25">
      <c r="A451" s="49">
        <v>1997</v>
      </c>
      <c r="B451" s="330" t="s">
        <v>14</v>
      </c>
      <c r="C451" s="331">
        <v>26517976146</v>
      </c>
      <c r="D451" s="331">
        <v>13913296536</v>
      </c>
      <c r="E451" s="331">
        <v>131955088</v>
      </c>
      <c r="F451" s="331">
        <v>172597</v>
      </c>
      <c r="G451" s="332">
        <f t="shared" si="14"/>
        <v>6.508679208765135E-6</v>
      </c>
      <c r="H451" s="331">
        <v>727327</v>
      </c>
      <c r="I451" s="331">
        <v>0</v>
      </c>
      <c r="J451" s="331">
        <f t="shared" si="15"/>
        <v>727327</v>
      </c>
      <c r="K451" s="199">
        <v>0.95</v>
      </c>
      <c r="L451" s="199">
        <v>2.1</v>
      </c>
    </row>
    <row r="452" spans="1:12" ht="15" customHeight="1" x14ac:dyDescent="0.25">
      <c r="A452" s="49">
        <v>1998</v>
      </c>
      <c r="B452" s="330" t="s">
        <v>14</v>
      </c>
      <c r="C452" s="331">
        <v>28746618497</v>
      </c>
      <c r="D452" s="331">
        <v>14934503840</v>
      </c>
      <c r="E452" s="331">
        <v>144144815</v>
      </c>
      <c r="F452" s="331">
        <v>144970</v>
      </c>
      <c r="G452" s="332">
        <f t="shared" si="14"/>
        <v>5.043027930924435E-6</v>
      </c>
      <c r="H452" s="331">
        <v>764875</v>
      </c>
      <c r="I452" s="331">
        <v>0</v>
      </c>
      <c r="J452" s="331">
        <f t="shared" si="15"/>
        <v>764875</v>
      </c>
      <c r="K452" s="199">
        <v>0.97</v>
      </c>
      <c r="L452" s="199">
        <v>2.1</v>
      </c>
    </row>
    <row r="453" spans="1:12" ht="15" customHeight="1" x14ac:dyDescent="0.25">
      <c r="A453" s="49">
        <v>1999</v>
      </c>
      <c r="B453" s="330" t="s">
        <v>14</v>
      </c>
      <c r="C453" s="331">
        <v>30448977667</v>
      </c>
      <c r="D453" s="331">
        <v>15997529792</v>
      </c>
      <c r="E453" s="331">
        <v>153769224</v>
      </c>
      <c r="F453" s="331">
        <v>173693</v>
      </c>
      <c r="G453" s="332">
        <f t="shared" si="14"/>
        <v>5.7043951327221418E-6</v>
      </c>
      <c r="H453" s="331">
        <v>775400</v>
      </c>
      <c r="I453" s="331">
        <v>0</v>
      </c>
      <c r="J453" s="331">
        <f t="shared" si="15"/>
        <v>775400</v>
      </c>
      <c r="K453" s="199">
        <v>0.96</v>
      </c>
      <c r="L453" s="199">
        <v>2.1</v>
      </c>
    </row>
    <row r="454" spans="1:12" ht="15" customHeight="1" x14ac:dyDescent="0.25">
      <c r="A454" s="49">
        <v>2000</v>
      </c>
      <c r="B454" s="330" t="s">
        <v>14</v>
      </c>
      <c r="C454" s="331">
        <v>31582576528</v>
      </c>
      <c r="D454" s="331">
        <v>16939664403</v>
      </c>
      <c r="E454" s="331">
        <v>203315185</v>
      </c>
      <c r="F454" s="331">
        <v>203843</v>
      </c>
      <c r="G454" s="332">
        <f t="shared" si="14"/>
        <v>6.4542865848604836E-6</v>
      </c>
      <c r="H454" s="331">
        <v>823519</v>
      </c>
      <c r="I454" s="331">
        <v>0</v>
      </c>
      <c r="J454" s="331">
        <f t="shared" si="15"/>
        <v>823519</v>
      </c>
      <c r="K454" s="199">
        <v>1.2</v>
      </c>
      <c r="L454" s="199">
        <v>2.1</v>
      </c>
    </row>
    <row r="455" spans="1:12" ht="15" customHeight="1" x14ac:dyDescent="0.25">
      <c r="A455" s="49">
        <v>2001</v>
      </c>
      <c r="B455" s="330" t="s">
        <v>14</v>
      </c>
      <c r="C455" s="331">
        <v>32057555957</v>
      </c>
      <c r="D455" s="331">
        <v>17213127018</v>
      </c>
      <c r="E455" s="331">
        <v>204998042</v>
      </c>
      <c r="F455" s="331">
        <v>306268</v>
      </c>
      <c r="G455" s="332">
        <f t="shared" si="14"/>
        <v>9.5536915044555709E-6</v>
      </c>
      <c r="H455" s="331">
        <v>772803</v>
      </c>
      <c r="I455" s="331">
        <v>0</v>
      </c>
      <c r="J455" s="331">
        <f t="shared" si="15"/>
        <v>772803</v>
      </c>
      <c r="K455" s="199">
        <v>1.19</v>
      </c>
      <c r="L455" s="199">
        <v>2.04</v>
      </c>
    </row>
    <row r="456" spans="1:12" x14ac:dyDescent="0.25">
      <c r="A456" s="49">
        <v>2002</v>
      </c>
      <c r="B456" s="330" t="s">
        <v>14</v>
      </c>
      <c r="C456" s="331">
        <v>32298911375</v>
      </c>
      <c r="D456" s="331">
        <v>17373841731</v>
      </c>
      <c r="E456" s="331">
        <v>211901228</v>
      </c>
      <c r="F456" s="331">
        <v>354086</v>
      </c>
      <c r="G456" s="332">
        <f t="shared" si="14"/>
        <v>1.0962784345545145E-5</v>
      </c>
      <c r="H456" s="331">
        <v>758997</v>
      </c>
      <c r="I456" s="331">
        <v>0</v>
      </c>
      <c r="J456" s="331">
        <f t="shared" si="15"/>
        <v>758997</v>
      </c>
      <c r="K456" s="199">
        <v>1.22</v>
      </c>
      <c r="L456" s="199">
        <v>2.04</v>
      </c>
    </row>
    <row r="457" spans="1:12" ht="15" customHeight="1" x14ac:dyDescent="0.25">
      <c r="A457" s="49">
        <v>2003</v>
      </c>
      <c r="B457" s="330" t="s">
        <v>14</v>
      </c>
      <c r="C457" s="331">
        <v>33165294598</v>
      </c>
      <c r="D457" s="331">
        <v>17762644700</v>
      </c>
      <c r="E457" s="331">
        <v>270588193</v>
      </c>
      <c r="F457" s="331">
        <v>361167</v>
      </c>
      <c r="G457" s="332">
        <f t="shared" si="14"/>
        <v>1.0889907789987785E-5</v>
      </c>
      <c r="H457" s="331">
        <v>705644</v>
      </c>
      <c r="I457" s="331">
        <v>0</v>
      </c>
      <c r="J457" s="331">
        <f t="shared" si="15"/>
        <v>705644</v>
      </c>
      <c r="K457" s="199">
        <v>1.52</v>
      </c>
      <c r="L457" s="199">
        <v>2.04</v>
      </c>
    </row>
    <row r="458" spans="1:12" ht="15" customHeight="1" x14ac:dyDescent="0.25">
      <c r="A458" s="49">
        <v>2004</v>
      </c>
      <c r="B458" s="330" t="s">
        <v>14</v>
      </c>
      <c r="C458" s="331">
        <v>35306383758</v>
      </c>
      <c r="D458" s="331">
        <v>18601971481</v>
      </c>
      <c r="E458" s="331">
        <v>292908666</v>
      </c>
      <c r="F458" s="331">
        <v>305410</v>
      </c>
      <c r="G458" s="332">
        <f t="shared" si="14"/>
        <v>8.650277017702153E-6</v>
      </c>
      <c r="H458" s="331">
        <v>676723</v>
      </c>
      <c r="I458" s="331">
        <v>0</v>
      </c>
      <c r="J458" s="331">
        <f t="shared" si="15"/>
        <v>676723</v>
      </c>
      <c r="K458" s="199">
        <v>1.57</v>
      </c>
      <c r="L458" s="199">
        <v>2.04</v>
      </c>
    </row>
    <row r="459" spans="1:12" ht="15" customHeight="1" x14ac:dyDescent="0.25">
      <c r="A459" s="49">
        <v>2005</v>
      </c>
      <c r="B459" s="330" t="s">
        <v>14</v>
      </c>
      <c r="C459" s="331">
        <v>37088698426</v>
      </c>
      <c r="D459" s="331">
        <v>19606963198</v>
      </c>
      <c r="E459" s="331">
        <v>313647661</v>
      </c>
      <c r="F459" s="331">
        <v>288575</v>
      </c>
      <c r="G459" s="332">
        <f t="shared" si="14"/>
        <v>7.7806720711908983E-6</v>
      </c>
      <c r="H459" s="331">
        <v>676506</v>
      </c>
      <c r="I459" s="331">
        <v>0</v>
      </c>
      <c r="J459" s="331">
        <f t="shared" si="15"/>
        <v>676506</v>
      </c>
      <c r="K459" s="199">
        <v>1.6</v>
      </c>
      <c r="L459" s="199">
        <v>2.04</v>
      </c>
    </row>
    <row r="460" spans="1:12" ht="15" customHeight="1" x14ac:dyDescent="0.25">
      <c r="A460" s="49">
        <v>2006</v>
      </c>
      <c r="B460" s="330" t="s">
        <v>14</v>
      </c>
      <c r="C460" s="331">
        <v>39181067793</v>
      </c>
      <c r="D460" s="331">
        <v>20790095265</v>
      </c>
      <c r="E460" s="331">
        <v>334379961</v>
      </c>
      <c r="F460" s="331">
        <v>299060</v>
      </c>
      <c r="G460" s="332">
        <f t="shared" si="14"/>
        <v>7.6327679883555738E-6</v>
      </c>
      <c r="H460" s="331">
        <v>695732</v>
      </c>
      <c r="I460" s="331">
        <v>0</v>
      </c>
      <c r="J460" s="331">
        <f t="shared" si="15"/>
        <v>695732</v>
      </c>
      <c r="K460" s="199">
        <v>1.61</v>
      </c>
      <c r="L460" s="199">
        <v>2.04</v>
      </c>
    </row>
    <row r="461" spans="1:12" ht="15" customHeight="1" x14ac:dyDescent="0.25">
      <c r="A461" s="49">
        <v>2007</v>
      </c>
      <c r="B461" s="330" t="s">
        <v>14</v>
      </c>
      <c r="C461" s="331">
        <v>41155100258</v>
      </c>
      <c r="D461" s="331">
        <v>21734266324</v>
      </c>
      <c r="E461" s="331">
        <v>343954965</v>
      </c>
      <c r="F461" s="331">
        <v>323490</v>
      </c>
      <c r="G461" s="332">
        <f t="shared" si="14"/>
        <v>7.8602651426445708E-6</v>
      </c>
      <c r="H461" s="331">
        <v>740178</v>
      </c>
      <c r="I461" s="331">
        <v>0</v>
      </c>
      <c r="J461" s="331">
        <f t="shared" si="15"/>
        <v>740178</v>
      </c>
      <c r="K461" s="199">
        <v>1.58</v>
      </c>
      <c r="L461" s="199">
        <v>2.04</v>
      </c>
    </row>
    <row r="462" spans="1:12" ht="15" customHeight="1" x14ac:dyDescent="0.25">
      <c r="A462" s="49">
        <v>2008</v>
      </c>
      <c r="B462" s="330" t="s">
        <v>14</v>
      </c>
      <c r="C462" s="331">
        <v>42433142280</v>
      </c>
      <c r="D462" s="331">
        <v>22599711417</v>
      </c>
      <c r="E462" s="331">
        <v>358277985</v>
      </c>
      <c r="F462" s="331">
        <v>408661</v>
      </c>
      <c r="G462" s="332">
        <f t="shared" si="14"/>
        <v>9.6307032202188346E-6</v>
      </c>
      <c r="H462" s="331">
        <v>737040</v>
      </c>
      <c r="I462" s="331">
        <v>0</v>
      </c>
      <c r="J462" s="331">
        <f t="shared" si="15"/>
        <v>737040</v>
      </c>
      <c r="K462" s="199">
        <v>1.6</v>
      </c>
      <c r="L462" s="199">
        <v>2.04</v>
      </c>
    </row>
    <row r="463" spans="1:12" ht="15" customHeight="1" x14ac:dyDescent="0.25">
      <c r="A463" s="49">
        <v>2009</v>
      </c>
      <c r="B463" s="330" t="s">
        <v>14</v>
      </c>
      <c r="C463" s="331">
        <v>40589569886</v>
      </c>
      <c r="D463" s="331">
        <v>22068873099</v>
      </c>
      <c r="E463" s="331">
        <v>333080278</v>
      </c>
      <c r="F463" s="331">
        <v>770364</v>
      </c>
      <c r="G463" s="332">
        <f t="shared" si="14"/>
        <v>1.8979358543676291E-5</v>
      </c>
      <c r="H463" s="331">
        <v>383905</v>
      </c>
      <c r="I463" s="331">
        <v>0</v>
      </c>
      <c r="J463" s="331">
        <f t="shared" si="15"/>
        <v>383905</v>
      </c>
      <c r="K463" s="199">
        <v>1.5</v>
      </c>
      <c r="L463" s="199">
        <v>1.36</v>
      </c>
    </row>
    <row r="464" spans="1:12" ht="15" customHeight="1" x14ac:dyDescent="0.25">
      <c r="A464" s="49">
        <v>2010</v>
      </c>
      <c r="B464" s="330" t="s">
        <v>14</v>
      </c>
      <c r="C464" s="331">
        <v>41416704675</v>
      </c>
      <c r="D464" s="331">
        <v>22437378136</v>
      </c>
      <c r="E464" s="331">
        <v>515239665</v>
      </c>
      <c r="F464" s="331">
        <v>567257</v>
      </c>
      <c r="G464" s="332">
        <f t="shared" si="14"/>
        <v>1.3696333507248062E-5</v>
      </c>
      <c r="H464" s="331">
        <v>310023</v>
      </c>
      <c r="I464" s="331">
        <v>0</v>
      </c>
      <c r="J464" s="331">
        <f t="shared" si="15"/>
        <v>310023</v>
      </c>
      <c r="K464" s="199">
        <v>2.2999999999999998</v>
      </c>
      <c r="L464" s="199">
        <v>1.46</v>
      </c>
    </row>
    <row r="465" spans="1:12" ht="15" customHeight="1" x14ac:dyDescent="0.25">
      <c r="A465" s="49">
        <v>2011</v>
      </c>
      <c r="B465" s="330" t="s">
        <v>14</v>
      </c>
      <c r="C465" s="331">
        <v>43349522382</v>
      </c>
      <c r="D465" s="331">
        <v>23332019920</v>
      </c>
      <c r="E465" s="331">
        <v>638230708</v>
      </c>
      <c r="F465" s="331">
        <v>448212</v>
      </c>
      <c r="G465" s="332">
        <f t="shared" si="14"/>
        <v>1.0339491080208782E-5</v>
      </c>
      <c r="H465" s="331">
        <v>507550</v>
      </c>
      <c r="I465" s="331">
        <v>0</v>
      </c>
      <c r="J465" s="331">
        <f t="shared" si="15"/>
        <v>507550</v>
      </c>
      <c r="K465" s="199">
        <v>2.7</v>
      </c>
      <c r="L465" s="199">
        <v>1.46</v>
      </c>
    </row>
    <row r="466" spans="1:12" ht="15" customHeight="1" x14ac:dyDescent="0.25">
      <c r="A466" s="49">
        <v>2012</v>
      </c>
      <c r="B466" s="330" t="s">
        <v>14</v>
      </c>
      <c r="C466" s="331">
        <v>45571075216</v>
      </c>
      <c r="D466" s="331">
        <v>24330353991</v>
      </c>
      <c r="E466" s="331">
        <v>588339013</v>
      </c>
      <c r="F466" s="331">
        <v>401347</v>
      </c>
      <c r="G466" s="332">
        <f t="shared" si="14"/>
        <v>8.8070557496762129E-6</v>
      </c>
      <c r="H466" s="331">
        <v>712023</v>
      </c>
      <c r="I466" s="331">
        <v>0</v>
      </c>
      <c r="J466" s="331">
        <f t="shared" si="15"/>
        <v>712023</v>
      </c>
      <c r="K466" s="199">
        <v>2.42</v>
      </c>
      <c r="L466" s="199">
        <v>1.46</v>
      </c>
    </row>
    <row r="467" spans="1:12" ht="15" customHeight="1" x14ac:dyDescent="0.25">
      <c r="A467" s="49">
        <v>2013</v>
      </c>
      <c r="B467" s="330" t="s">
        <v>14</v>
      </c>
      <c r="C467" s="331">
        <v>47180256940</v>
      </c>
      <c r="D467" s="331">
        <v>25336478879</v>
      </c>
      <c r="E467" s="331">
        <v>533504744</v>
      </c>
      <c r="F467" s="331">
        <v>400768</v>
      </c>
      <c r="G467" s="332">
        <f t="shared" si="14"/>
        <v>8.4944005393964689E-6</v>
      </c>
      <c r="H467" s="331">
        <v>865594</v>
      </c>
      <c r="I467" s="331">
        <v>0</v>
      </c>
      <c r="J467" s="331">
        <f t="shared" si="15"/>
        <v>865594</v>
      </c>
      <c r="K467" s="199">
        <v>2.11</v>
      </c>
      <c r="L467" s="199">
        <v>1.46</v>
      </c>
    </row>
    <row r="468" spans="1:12" ht="15" customHeight="1" x14ac:dyDescent="0.25">
      <c r="A468" s="49">
        <v>2014</v>
      </c>
      <c r="B468" s="330" t="s">
        <v>14</v>
      </c>
      <c r="C468" s="331">
        <v>49694173477</v>
      </c>
      <c r="D468" s="331">
        <v>26665381459</v>
      </c>
      <c r="E468" s="331">
        <v>431069403</v>
      </c>
      <c r="F468" s="331">
        <v>386046</v>
      </c>
      <c r="G468" s="332">
        <f t="shared" si="14"/>
        <v>7.7684358746538776E-6</v>
      </c>
      <c r="H468" s="331">
        <v>940113</v>
      </c>
      <c r="I468" s="331">
        <v>0</v>
      </c>
      <c r="J468" s="331">
        <f t="shared" si="15"/>
        <v>940113</v>
      </c>
      <c r="K468" s="333">
        <v>1.6165881731817755</v>
      </c>
      <c r="L468" s="199">
        <v>1.46</v>
      </c>
    </row>
    <row r="469" spans="1:12" ht="15" customHeight="1" x14ac:dyDescent="0.25">
      <c r="A469" s="49">
        <v>2015</v>
      </c>
      <c r="B469" s="330" t="s">
        <v>14</v>
      </c>
      <c r="C469" s="334">
        <v>52056486000</v>
      </c>
      <c r="D469" s="334">
        <v>27742866000</v>
      </c>
      <c r="E469" s="334">
        <v>365311000</v>
      </c>
      <c r="F469" s="331">
        <v>383493</v>
      </c>
      <c r="G469" s="332">
        <f t="shared" si="14"/>
        <v>7.3668629880242011E-6</v>
      </c>
      <c r="H469" s="331">
        <v>943250</v>
      </c>
      <c r="I469" s="199">
        <v>0</v>
      </c>
      <c r="J469" s="331">
        <f t="shared" si="15"/>
        <v>943250</v>
      </c>
      <c r="K469" s="199">
        <v>1.3</v>
      </c>
      <c r="L469" s="199">
        <v>1.45</v>
      </c>
    </row>
    <row r="470" spans="1:12" ht="15" customHeight="1" x14ac:dyDescent="0.25">
      <c r="A470" s="49">
        <v>1980</v>
      </c>
      <c r="B470" s="330" t="s">
        <v>15</v>
      </c>
      <c r="C470" s="331">
        <v>3107340129</v>
      </c>
      <c r="D470" s="331">
        <v>2095025048</v>
      </c>
      <c r="E470" s="331">
        <v>43466540</v>
      </c>
      <c r="F470" s="331">
        <v>54101</v>
      </c>
      <c r="G470" s="332">
        <f t="shared" si="14"/>
        <v>1.741071068953456E-5</v>
      </c>
      <c r="H470" s="331">
        <v>90488</v>
      </c>
      <c r="I470" s="331">
        <v>0</v>
      </c>
      <c r="J470" s="331">
        <f t="shared" si="15"/>
        <v>90488</v>
      </c>
      <c r="K470" s="199">
        <v>2.0699999999999998</v>
      </c>
      <c r="L470" s="199">
        <v>1.87</v>
      </c>
    </row>
    <row r="471" spans="1:12" ht="15" customHeight="1" x14ac:dyDescent="0.25">
      <c r="A471" s="49">
        <v>1981</v>
      </c>
      <c r="B471" s="330" t="s">
        <v>15</v>
      </c>
      <c r="C471" s="331">
        <v>3395540162</v>
      </c>
      <c r="D471" s="331">
        <v>2298716760</v>
      </c>
      <c r="E471" s="331">
        <v>43247288</v>
      </c>
      <c r="F471" s="331">
        <v>56098</v>
      </c>
      <c r="G471" s="332">
        <f t="shared" si="14"/>
        <v>1.6521082750780315E-5</v>
      </c>
      <c r="H471" s="331">
        <v>83572</v>
      </c>
      <c r="I471" s="331">
        <v>0</v>
      </c>
      <c r="J471" s="331">
        <f t="shared" si="15"/>
        <v>83572</v>
      </c>
      <c r="K471" s="199">
        <v>1.88</v>
      </c>
      <c r="L471" s="199">
        <v>1.76</v>
      </c>
    </row>
    <row r="472" spans="1:12" ht="15" customHeight="1" x14ac:dyDescent="0.25">
      <c r="A472" s="49">
        <v>1982</v>
      </c>
      <c r="B472" s="330" t="s">
        <v>15</v>
      </c>
      <c r="C472" s="331">
        <v>3351872635</v>
      </c>
      <c r="D472" s="331">
        <v>2304730807</v>
      </c>
      <c r="E472" s="331">
        <v>47651704</v>
      </c>
      <c r="F472" s="331">
        <v>91929</v>
      </c>
      <c r="G472" s="332">
        <f t="shared" si="14"/>
        <v>2.7426161435874486E-5</v>
      </c>
      <c r="H472" s="331">
        <v>28916</v>
      </c>
      <c r="I472" s="331">
        <v>0</v>
      </c>
      <c r="J472" s="331">
        <f t="shared" si="15"/>
        <v>28916</v>
      </c>
      <c r="K472" s="199">
        <v>2.0699999999999998</v>
      </c>
      <c r="L472" s="199">
        <v>2.2599999999999998</v>
      </c>
    </row>
    <row r="473" spans="1:12" ht="15" customHeight="1" x14ac:dyDescent="0.25">
      <c r="A473" s="49">
        <v>1983</v>
      </c>
      <c r="B473" s="330" t="s">
        <v>15</v>
      </c>
      <c r="C473" s="331">
        <v>3579875385</v>
      </c>
      <c r="D473" s="331">
        <v>2492737258</v>
      </c>
      <c r="E473" s="331">
        <v>70341411</v>
      </c>
      <c r="F473" s="331">
        <v>68885</v>
      </c>
      <c r="G473" s="332">
        <f t="shared" si="14"/>
        <v>1.9242289910043895E-5</v>
      </c>
      <c r="H473" s="331">
        <v>18278</v>
      </c>
      <c r="I473" s="331">
        <v>0</v>
      </c>
      <c r="J473" s="331">
        <f t="shared" si="15"/>
        <v>18278</v>
      </c>
      <c r="K473" s="199">
        <v>2.82</v>
      </c>
      <c r="L473" s="199">
        <v>2.37</v>
      </c>
    </row>
    <row r="474" spans="1:12" ht="15" customHeight="1" x14ac:dyDescent="0.25">
      <c r="A474" s="49">
        <v>1984</v>
      </c>
      <c r="B474" s="330" t="s">
        <v>15</v>
      </c>
      <c r="C474" s="331">
        <v>3869155638</v>
      </c>
      <c r="D474" s="331">
        <v>2645614818</v>
      </c>
      <c r="E474" s="331">
        <v>91263030</v>
      </c>
      <c r="F474" s="331">
        <v>56676</v>
      </c>
      <c r="G474" s="332">
        <f t="shared" si="14"/>
        <v>1.4648157195686321E-5</v>
      </c>
      <c r="H474" s="331">
        <v>54525</v>
      </c>
      <c r="I474" s="331">
        <v>0</v>
      </c>
      <c r="J474" s="331">
        <f t="shared" si="15"/>
        <v>54525</v>
      </c>
      <c r="K474" s="199">
        <v>3.45</v>
      </c>
      <c r="L474" s="199">
        <v>2.37</v>
      </c>
    </row>
    <row r="475" spans="1:12" ht="15" customHeight="1" x14ac:dyDescent="0.25">
      <c r="A475" s="49">
        <v>1985</v>
      </c>
      <c r="B475" s="330" t="s">
        <v>15</v>
      </c>
      <c r="C475" s="331">
        <v>4059558831</v>
      </c>
      <c r="D475" s="331">
        <v>2778120311</v>
      </c>
      <c r="E475" s="331">
        <v>83641263</v>
      </c>
      <c r="F475" s="331">
        <v>66390</v>
      </c>
      <c r="G475" s="332">
        <f t="shared" si="14"/>
        <v>1.6353993811599967E-5</v>
      </c>
      <c r="H475" s="331">
        <v>82728</v>
      </c>
      <c r="I475" s="331">
        <v>0</v>
      </c>
      <c r="J475" s="331">
        <f t="shared" si="15"/>
        <v>82728</v>
      </c>
      <c r="K475" s="199">
        <v>3.01</v>
      </c>
      <c r="L475" s="199">
        <v>2.37</v>
      </c>
    </row>
    <row r="476" spans="1:12" ht="15" customHeight="1" x14ac:dyDescent="0.25">
      <c r="A476" s="49">
        <v>1986</v>
      </c>
      <c r="B476" s="330" t="s">
        <v>15</v>
      </c>
      <c r="C476" s="331">
        <v>4067342495</v>
      </c>
      <c r="D476" s="331">
        <v>2816778150</v>
      </c>
      <c r="E476" s="331">
        <v>83814942</v>
      </c>
      <c r="F476" s="331">
        <v>74141</v>
      </c>
      <c r="G476" s="332">
        <f t="shared" si="14"/>
        <v>1.8228364120096063E-5</v>
      </c>
      <c r="H476" s="331">
        <v>97106</v>
      </c>
      <c r="I476" s="331">
        <v>0</v>
      </c>
      <c r="J476" s="331">
        <f t="shared" si="15"/>
        <v>97106</v>
      </c>
      <c r="K476" s="199">
        <v>2.98</v>
      </c>
      <c r="L476" s="199">
        <v>2.38</v>
      </c>
    </row>
    <row r="477" spans="1:12" ht="15" customHeight="1" x14ac:dyDescent="0.25">
      <c r="A477" s="49">
        <v>1987</v>
      </c>
      <c r="B477" s="330" t="s">
        <v>15</v>
      </c>
      <c r="C477" s="331">
        <v>4246717153</v>
      </c>
      <c r="D477" s="331">
        <v>2932572113</v>
      </c>
      <c r="E477" s="331">
        <v>86880230</v>
      </c>
      <c r="F477" s="331">
        <v>63983</v>
      </c>
      <c r="G477" s="332">
        <f t="shared" si="14"/>
        <v>1.5066461385308088E-5</v>
      </c>
      <c r="H477" s="331">
        <v>126166</v>
      </c>
      <c r="I477" s="331">
        <v>0</v>
      </c>
      <c r="J477" s="331">
        <f t="shared" si="15"/>
        <v>126166</v>
      </c>
      <c r="K477" s="199">
        <v>2.96</v>
      </c>
      <c r="L477" s="199">
        <v>2.38</v>
      </c>
    </row>
    <row r="478" spans="1:12" ht="15" customHeight="1" x14ac:dyDescent="0.25">
      <c r="A478" s="49">
        <v>1988</v>
      </c>
      <c r="B478" s="330" t="s">
        <v>15</v>
      </c>
      <c r="C478" s="331">
        <v>4635513334</v>
      </c>
      <c r="D478" s="331">
        <v>3115678864</v>
      </c>
      <c r="E478" s="331">
        <v>92779353</v>
      </c>
      <c r="F478" s="331">
        <v>54626</v>
      </c>
      <c r="G478" s="332">
        <f t="shared" si="14"/>
        <v>1.1784239643824525E-5</v>
      </c>
      <c r="H478" s="331">
        <v>176667</v>
      </c>
      <c r="I478" s="331">
        <v>0</v>
      </c>
      <c r="J478" s="331">
        <f t="shared" si="15"/>
        <v>176667</v>
      </c>
      <c r="K478" s="199">
        <v>2.98</v>
      </c>
      <c r="L478" s="199">
        <v>2.38</v>
      </c>
    </row>
    <row r="479" spans="1:12" ht="15" customHeight="1" x14ac:dyDescent="0.25">
      <c r="A479" s="49">
        <v>1989</v>
      </c>
      <c r="B479" s="330" t="s">
        <v>15</v>
      </c>
      <c r="C479" s="331">
        <v>5061878745</v>
      </c>
      <c r="D479" s="331">
        <v>3404628671</v>
      </c>
      <c r="E479" s="331">
        <v>73135033</v>
      </c>
      <c r="F479" s="331">
        <v>51553</v>
      </c>
      <c r="G479" s="332">
        <f t="shared" si="14"/>
        <v>1.0184558460813149E-5</v>
      </c>
      <c r="H479" s="331">
        <v>219765</v>
      </c>
      <c r="I479" s="331">
        <v>0</v>
      </c>
      <c r="J479" s="331">
        <f t="shared" si="15"/>
        <v>219765</v>
      </c>
      <c r="K479" s="199">
        <v>2.15</v>
      </c>
      <c r="L479" s="199">
        <v>2.38</v>
      </c>
    </row>
    <row r="480" spans="1:12" ht="15" customHeight="1" x14ac:dyDescent="0.25">
      <c r="A480" s="49">
        <v>1990</v>
      </c>
      <c r="B480" s="330" t="s">
        <v>15</v>
      </c>
      <c r="C480" s="331">
        <v>5605403442</v>
      </c>
      <c r="D480" s="331">
        <v>3763627722</v>
      </c>
      <c r="E480" s="331">
        <v>65317082</v>
      </c>
      <c r="F480" s="331">
        <v>55326</v>
      </c>
      <c r="G480" s="332">
        <f t="shared" si="14"/>
        <v>9.8701191756252538E-6</v>
      </c>
      <c r="H480" s="331">
        <v>252655</v>
      </c>
      <c r="I480" s="331">
        <v>0</v>
      </c>
      <c r="J480" s="331">
        <f t="shared" si="15"/>
        <v>252655</v>
      </c>
      <c r="K480" s="199">
        <v>1.74</v>
      </c>
      <c r="L480" s="199">
        <v>2.38</v>
      </c>
    </row>
    <row r="481" spans="1:12" ht="15" customHeight="1" x14ac:dyDescent="0.25">
      <c r="A481" s="49">
        <v>1991</v>
      </c>
      <c r="B481" s="330" t="s">
        <v>15</v>
      </c>
      <c r="C481" s="331">
        <v>5961812221</v>
      </c>
      <c r="D481" s="331">
        <v>4010986116</v>
      </c>
      <c r="E481" s="331">
        <v>52804806</v>
      </c>
      <c r="F481" s="331">
        <v>77069</v>
      </c>
      <c r="G481" s="332">
        <f t="shared" si="14"/>
        <v>1.2927109600757081E-5</v>
      </c>
      <c r="H481" s="331">
        <v>243573</v>
      </c>
      <c r="I481" s="331">
        <v>0</v>
      </c>
      <c r="J481" s="331">
        <f t="shared" si="15"/>
        <v>243573</v>
      </c>
      <c r="K481" s="199">
        <v>1.32</v>
      </c>
      <c r="L481" s="199">
        <v>2.38</v>
      </c>
    </row>
    <row r="482" spans="1:12" ht="15" customHeight="1" x14ac:dyDescent="0.25">
      <c r="A482" s="49">
        <v>1992</v>
      </c>
      <c r="B482" s="330" t="s">
        <v>15</v>
      </c>
      <c r="C482" s="331">
        <v>6539625482</v>
      </c>
      <c r="D482" s="331">
        <v>4356534568</v>
      </c>
      <c r="E482" s="331">
        <v>75608878</v>
      </c>
      <c r="F482" s="331">
        <v>78227</v>
      </c>
      <c r="G482" s="332">
        <f t="shared" si="14"/>
        <v>1.1961999997601697E-5</v>
      </c>
      <c r="H482" s="331">
        <v>240141</v>
      </c>
      <c r="I482" s="331">
        <v>0</v>
      </c>
      <c r="J482" s="331">
        <f t="shared" si="15"/>
        <v>240141</v>
      </c>
      <c r="K482" s="199">
        <v>1.74</v>
      </c>
      <c r="L482" s="199">
        <v>2.38</v>
      </c>
    </row>
    <row r="483" spans="1:12" ht="15" customHeight="1" x14ac:dyDescent="0.25">
      <c r="A483" s="49">
        <v>1993</v>
      </c>
      <c r="B483" s="330" t="s">
        <v>15</v>
      </c>
      <c r="C483" s="331">
        <v>7094554215</v>
      </c>
      <c r="D483" s="331">
        <v>4733348425</v>
      </c>
      <c r="E483" s="331">
        <v>83502017</v>
      </c>
      <c r="F483" s="331">
        <v>74381</v>
      </c>
      <c r="G483" s="332">
        <f t="shared" si="14"/>
        <v>1.0484238719712145E-5</v>
      </c>
      <c r="H483" s="331">
        <v>247823</v>
      </c>
      <c r="I483" s="331">
        <v>0</v>
      </c>
      <c r="J483" s="331">
        <f t="shared" si="15"/>
        <v>247823</v>
      </c>
      <c r="K483" s="199">
        <v>1.76</v>
      </c>
      <c r="L483" s="199">
        <v>2.38</v>
      </c>
    </row>
    <row r="484" spans="1:12" ht="15" customHeight="1" x14ac:dyDescent="0.25">
      <c r="A484" s="49">
        <v>1994</v>
      </c>
      <c r="B484" s="330" t="s">
        <v>15</v>
      </c>
      <c r="C484" s="331">
        <v>7815943052</v>
      </c>
      <c r="D484" s="331">
        <v>5278132074</v>
      </c>
      <c r="E484" s="331">
        <v>73969989</v>
      </c>
      <c r="F484" s="331">
        <v>78239</v>
      </c>
      <c r="G484" s="332">
        <f t="shared" si="14"/>
        <v>1.001018040682623E-5</v>
      </c>
      <c r="H484" s="331">
        <v>245096</v>
      </c>
      <c r="I484" s="331">
        <v>0</v>
      </c>
      <c r="J484" s="331">
        <f t="shared" si="15"/>
        <v>245096</v>
      </c>
      <c r="K484" s="199">
        <v>1.4</v>
      </c>
      <c r="L484" s="199">
        <v>2.38</v>
      </c>
    </row>
    <row r="485" spans="1:12" ht="15" customHeight="1" x14ac:dyDescent="0.25">
      <c r="A485" s="49">
        <v>1995</v>
      </c>
      <c r="B485" s="330" t="s">
        <v>15</v>
      </c>
      <c r="C485" s="331">
        <v>8453371518</v>
      </c>
      <c r="D485" s="331">
        <v>5633252641</v>
      </c>
      <c r="E485" s="331">
        <v>78140295</v>
      </c>
      <c r="F485" s="331">
        <v>91741</v>
      </c>
      <c r="G485" s="332">
        <f t="shared" si="14"/>
        <v>1.0852592933441211E-5</v>
      </c>
      <c r="H485" s="331">
        <v>243090</v>
      </c>
      <c r="I485" s="331">
        <v>0</v>
      </c>
      <c r="J485" s="331">
        <f t="shared" si="15"/>
        <v>243090</v>
      </c>
      <c r="K485" s="199">
        <v>1.39</v>
      </c>
      <c r="L485" s="199">
        <v>2.38</v>
      </c>
    </row>
    <row r="486" spans="1:12" ht="15" customHeight="1" x14ac:dyDescent="0.25">
      <c r="A486" s="49">
        <v>1996</v>
      </c>
      <c r="B486" s="330" t="s">
        <v>15</v>
      </c>
      <c r="C486" s="331">
        <v>8909641792</v>
      </c>
      <c r="D486" s="331">
        <v>6000354932</v>
      </c>
      <c r="E486" s="331">
        <v>107683938</v>
      </c>
      <c r="F486" s="331">
        <v>95760</v>
      </c>
      <c r="G486" s="332">
        <f t="shared" si="14"/>
        <v>1.0747906844693045E-5</v>
      </c>
      <c r="H486" s="331">
        <v>266228</v>
      </c>
      <c r="I486" s="331">
        <v>0</v>
      </c>
      <c r="J486" s="331">
        <f t="shared" si="15"/>
        <v>266228</v>
      </c>
      <c r="K486" s="199">
        <v>1.79</v>
      </c>
      <c r="L486" s="199">
        <v>2.38</v>
      </c>
    </row>
    <row r="487" spans="1:12" ht="15" customHeight="1" x14ac:dyDescent="0.25">
      <c r="A487" s="49">
        <v>1997</v>
      </c>
      <c r="B487" s="330" t="s">
        <v>15</v>
      </c>
      <c r="C487" s="331">
        <v>9519331469</v>
      </c>
      <c r="D487" s="331">
        <v>6256758201</v>
      </c>
      <c r="E487" s="331">
        <v>87399020</v>
      </c>
      <c r="F487" s="331">
        <v>89870</v>
      </c>
      <c r="G487" s="332">
        <f t="shared" si="14"/>
        <v>9.440789018920547E-6</v>
      </c>
      <c r="H487" s="331">
        <v>280382</v>
      </c>
      <c r="I487" s="331">
        <v>0</v>
      </c>
      <c r="J487" s="331">
        <f t="shared" si="15"/>
        <v>280382</v>
      </c>
      <c r="K487" s="199">
        <v>1.4</v>
      </c>
      <c r="L487" s="199">
        <v>2.38</v>
      </c>
    </row>
    <row r="488" spans="1:12" ht="15" customHeight="1" x14ac:dyDescent="0.25">
      <c r="A488" s="49">
        <v>1998</v>
      </c>
      <c r="B488" s="330" t="s">
        <v>15</v>
      </c>
      <c r="C488" s="331">
        <v>10177186942</v>
      </c>
      <c r="D488" s="331">
        <v>6868303030</v>
      </c>
      <c r="E488" s="331">
        <v>78762736</v>
      </c>
      <c r="F488" s="331">
        <v>91111</v>
      </c>
      <c r="G488" s="332">
        <f t="shared" si="14"/>
        <v>8.9524738534570981E-6</v>
      </c>
      <c r="H488" s="331">
        <v>266987</v>
      </c>
      <c r="I488" s="331">
        <v>0</v>
      </c>
      <c r="J488" s="331">
        <f t="shared" si="15"/>
        <v>266987</v>
      </c>
      <c r="K488" s="199">
        <v>1.1499999999999999</v>
      </c>
      <c r="L488" s="199">
        <v>2.38</v>
      </c>
    </row>
    <row r="489" spans="1:12" ht="15" customHeight="1" x14ac:dyDescent="0.25">
      <c r="A489" s="49">
        <v>1999</v>
      </c>
      <c r="B489" s="330" t="s">
        <v>15</v>
      </c>
      <c r="C489" s="331">
        <v>11053263750</v>
      </c>
      <c r="D489" s="331">
        <v>7336018000</v>
      </c>
      <c r="E489" s="331">
        <v>85519018</v>
      </c>
      <c r="F489" s="331">
        <v>97305</v>
      </c>
      <c r="G489" s="332">
        <f t="shared" si="14"/>
        <v>8.8032821979842834E-6</v>
      </c>
      <c r="H489" s="331">
        <v>267444</v>
      </c>
      <c r="I489" s="331">
        <v>0</v>
      </c>
      <c r="J489" s="331">
        <f t="shared" si="15"/>
        <v>267444</v>
      </c>
      <c r="K489" s="199">
        <v>1.17</v>
      </c>
      <c r="L489" s="199">
        <v>2.38</v>
      </c>
    </row>
    <row r="490" spans="1:12" ht="15" customHeight="1" x14ac:dyDescent="0.25">
      <c r="A490" s="49">
        <v>2000</v>
      </c>
      <c r="B490" s="330" t="s">
        <v>15</v>
      </c>
      <c r="C490" s="331">
        <v>12327548930</v>
      </c>
      <c r="D490" s="331">
        <v>7940872326</v>
      </c>
      <c r="E490" s="331">
        <v>94108164</v>
      </c>
      <c r="F490" s="331">
        <v>98804</v>
      </c>
      <c r="G490" s="332">
        <f t="shared" si="14"/>
        <v>8.0148941659889237E-6</v>
      </c>
      <c r="H490" s="331">
        <v>277848</v>
      </c>
      <c r="I490" s="331">
        <v>0</v>
      </c>
      <c r="J490" s="331">
        <f t="shared" si="15"/>
        <v>277848</v>
      </c>
      <c r="K490" s="199">
        <v>1.19</v>
      </c>
      <c r="L490" s="199">
        <v>2.38</v>
      </c>
    </row>
    <row r="491" spans="1:12" x14ac:dyDescent="0.25">
      <c r="A491" s="49">
        <v>2001</v>
      </c>
      <c r="B491" s="330" t="s">
        <v>15</v>
      </c>
      <c r="C491" s="331">
        <v>12347223741</v>
      </c>
      <c r="D491" s="331">
        <v>8315899856</v>
      </c>
      <c r="E491" s="331">
        <v>98801871</v>
      </c>
      <c r="F491" s="331">
        <v>140700</v>
      </c>
      <c r="G491" s="332">
        <f t="shared" si="14"/>
        <v>1.1395274188868365E-5</v>
      </c>
      <c r="H491" s="331">
        <v>233387</v>
      </c>
      <c r="I491" s="331">
        <v>0</v>
      </c>
      <c r="J491" s="331">
        <f t="shared" si="15"/>
        <v>233387</v>
      </c>
      <c r="K491" s="199">
        <v>1.19</v>
      </c>
      <c r="L491" s="199">
        <v>2.38</v>
      </c>
    </row>
    <row r="492" spans="1:12" ht="15" customHeight="1" x14ac:dyDescent="0.25">
      <c r="A492" s="49">
        <v>2002</v>
      </c>
      <c r="B492" s="330" t="s">
        <v>15</v>
      </c>
      <c r="C492" s="331">
        <v>12409314903</v>
      </c>
      <c r="D492" s="331">
        <v>8557789237</v>
      </c>
      <c r="E492" s="331">
        <v>101119160</v>
      </c>
      <c r="F492" s="331">
        <v>173306</v>
      </c>
      <c r="G492" s="332">
        <f t="shared" si="14"/>
        <v>1.396579918832607E-5</v>
      </c>
      <c r="H492" s="331">
        <v>194645</v>
      </c>
      <c r="I492" s="331">
        <v>0</v>
      </c>
      <c r="J492" s="331">
        <f t="shared" si="15"/>
        <v>194645</v>
      </c>
      <c r="K492" s="199">
        <v>1.18</v>
      </c>
      <c r="L492" s="199">
        <v>2.38</v>
      </c>
    </row>
    <row r="493" spans="1:12" ht="15" customHeight="1" x14ac:dyDescent="0.25">
      <c r="A493" s="49">
        <v>2003</v>
      </c>
      <c r="B493" s="330" t="s">
        <v>15</v>
      </c>
      <c r="C493" s="331">
        <v>12698532071</v>
      </c>
      <c r="D493" s="331">
        <v>8738807545</v>
      </c>
      <c r="E493" s="331">
        <v>107208174</v>
      </c>
      <c r="F493" s="331">
        <v>176309</v>
      </c>
      <c r="G493" s="332">
        <f t="shared" si="14"/>
        <v>1.3884203230280601E-5</v>
      </c>
      <c r="H493" s="331">
        <v>127302</v>
      </c>
      <c r="I493" s="331">
        <v>0</v>
      </c>
      <c r="J493" s="331">
        <f t="shared" si="15"/>
        <v>127302</v>
      </c>
      <c r="K493" s="199">
        <v>1.23</v>
      </c>
      <c r="L493" s="199">
        <v>2.38</v>
      </c>
    </row>
    <row r="494" spans="1:12" ht="15" customHeight="1" x14ac:dyDescent="0.25">
      <c r="A494" s="49">
        <v>2004</v>
      </c>
      <c r="B494" s="330" t="s">
        <v>15</v>
      </c>
      <c r="C494" s="331">
        <v>13636025782</v>
      </c>
      <c r="D494" s="331">
        <v>9140159176</v>
      </c>
      <c r="E494" s="331">
        <v>115129600</v>
      </c>
      <c r="F494" s="331">
        <v>137870</v>
      </c>
      <c r="G494" s="332">
        <f t="shared" si="14"/>
        <v>1.0110717169660453E-5</v>
      </c>
      <c r="H494" s="331">
        <v>106963</v>
      </c>
      <c r="I494" s="331">
        <v>0</v>
      </c>
      <c r="J494" s="331">
        <f t="shared" si="15"/>
        <v>106963</v>
      </c>
      <c r="K494" s="199">
        <v>1.26</v>
      </c>
      <c r="L494" s="199">
        <v>2.38</v>
      </c>
    </row>
    <row r="495" spans="1:12" ht="15" customHeight="1" x14ac:dyDescent="0.25">
      <c r="A495" s="49">
        <v>2005</v>
      </c>
      <c r="B495" s="330" t="s">
        <v>15</v>
      </c>
      <c r="C495" s="331">
        <v>14767662648</v>
      </c>
      <c r="D495" s="331">
        <v>9820388412</v>
      </c>
      <c r="E495" s="331">
        <v>138168621</v>
      </c>
      <c r="F495" s="331">
        <v>114050</v>
      </c>
      <c r="G495" s="332">
        <f t="shared" si="14"/>
        <v>7.7229554004909441E-6</v>
      </c>
      <c r="H495" s="331">
        <v>135885</v>
      </c>
      <c r="I495" s="331">
        <v>0</v>
      </c>
      <c r="J495" s="331">
        <f t="shared" si="15"/>
        <v>135885</v>
      </c>
      <c r="K495" s="199">
        <v>1.41</v>
      </c>
      <c r="L495" s="199">
        <v>2.38</v>
      </c>
    </row>
    <row r="496" spans="1:12" ht="15" customHeight="1" x14ac:dyDescent="0.25">
      <c r="A496" s="49">
        <v>2006</v>
      </c>
      <c r="B496" s="330" t="s">
        <v>15</v>
      </c>
      <c r="C496" s="331">
        <v>16649108076</v>
      </c>
      <c r="D496" s="331">
        <v>10936546141</v>
      </c>
      <c r="E496" s="331">
        <v>165322481</v>
      </c>
      <c r="F496" s="331">
        <v>96346</v>
      </c>
      <c r="G496" s="332">
        <f t="shared" si="14"/>
        <v>5.7868565427168174E-6</v>
      </c>
      <c r="H496" s="331">
        <v>180067</v>
      </c>
      <c r="I496" s="331">
        <v>0</v>
      </c>
      <c r="J496" s="331">
        <f t="shared" si="15"/>
        <v>180067</v>
      </c>
      <c r="K496" s="199">
        <v>1.51</v>
      </c>
      <c r="L496" s="199">
        <v>2.38</v>
      </c>
    </row>
    <row r="497" spans="1:12" ht="15" customHeight="1" x14ac:dyDescent="0.25">
      <c r="A497" s="49">
        <v>2007</v>
      </c>
      <c r="B497" s="330" t="s">
        <v>15</v>
      </c>
      <c r="C497" s="331">
        <v>17579270295</v>
      </c>
      <c r="D497" s="331">
        <v>11597898405</v>
      </c>
      <c r="E497" s="331">
        <v>132976337</v>
      </c>
      <c r="F497" s="331">
        <v>117370</v>
      </c>
      <c r="G497" s="332">
        <f t="shared" si="14"/>
        <v>6.6766138770494396E-6</v>
      </c>
      <c r="H497" s="331">
        <v>196048</v>
      </c>
      <c r="I497" s="331">
        <v>0</v>
      </c>
      <c r="J497" s="331">
        <f t="shared" si="15"/>
        <v>196048</v>
      </c>
      <c r="K497" s="199">
        <v>1.1499999999999999</v>
      </c>
      <c r="L497" s="199">
        <v>2.38</v>
      </c>
    </row>
    <row r="498" spans="1:12" ht="15" customHeight="1" x14ac:dyDescent="0.25">
      <c r="A498" s="49">
        <v>2008</v>
      </c>
      <c r="B498" s="330" t="s">
        <v>15</v>
      </c>
      <c r="C498" s="331">
        <v>17270088849</v>
      </c>
      <c r="D498" s="331">
        <v>11794297500</v>
      </c>
      <c r="E498" s="331">
        <v>91203902</v>
      </c>
      <c r="F498" s="331">
        <v>211273</v>
      </c>
      <c r="G498" s="332">
        <f t="shared" si="14"/>
        <v>1.2233463408744042E-5</v>
      </c>
      <c r="H498" s="331">
        <v>88456</v>
      </c>
      <c r="I498" s="331">
        <v>0</v>
      </c>
      <c r="J498" s="331">
        <f t="shared" si="15"/>
        <v>88456</v>
      </c>
      <c r="K498" s="199">
        <v>0.8</v>
      </c>
      <c r="L498" s="199">
        <v>2.38</v>
      </c>
    </row>
    <row r="499" spans="1:12" ht="15" customHeight="1" x14ac:dyDescent="0.25">
      <c r="A499" s="49">
        <v>2009</v>
      </c>
      <c r="B499" s="330" t="s">
        <v>15</v>
      </c>
      <c r="C499" s="331">
        <v>15974032383</v>
      </c>
      <c r="D499" s="331">
        <v>11020696948</v>
      </c>
      <c r="E499" s="331">
        <v>144643318</v>
      </c>
      <c r="F499" s="331">
        <v>383004</v>
      </c>
      <c r="G499" s="332">
        <f t="shared" si="14"/>
        <v>2.3976663551001894E-5</v>
      </c>
      <c r="H499" s="331">
        <v>3396</v>
      </c>
      <c r="I499" s="331">
        <v>107055</v>
      </c>
      <c r="J499" s="331">
        <f t="shared" si="15"/>
        <v>-103659</v>
      </c>
      <c r="K499" s="199">
        <v>1.3</v>
      </c>
      <c r="L499" s="199">
        <v>1.73</v>
      </c>
    </row>
    <row r="500" spans="1:12" ht="15" customHeight="1" x14ac:dyDescent="0.25">
      <c r="A500" s="49">
        <v>2010</v>
      </c>
      <c r="B500" s="330" t="s">
        <v>15</v>
      </c>
      <c r="C500" s="331">
        <v>16080084021</v>
      </c>
      <c r="D500" s="331">
        <v>10918372079</v>
      </c>
      <c r="E500" s="331">
        <v>311445838</v>
      </c>
      <c r="F500" s="331">
        <v>265879</v>
      </c>
      <c r="G500" s="332">
        <f t="shared" si="14"/>
        <v>1.6534677284818399E-5</v>
      </c>
      <c r="H500" s="331">
        <v>105405</v>
      </c>
      <c r="I500" s="331">
        <v>202402</v>
      </c>
      <c r="J500" s="331">
        <f t="shared" si="15"/>
        <v>-96997</v>
      </c>
      <c r="K500" s="199">
        <v>2.9</v>
      </c>
      <c r="L500" s="199">
        <v>1.82</v>
      </c>
    </row>
    <row r="501" spans="1:12" ht="15" customHeight="1" x14ac:dyDescent="0.25">
      <c r="A501" s="49">
        <v>2011</v>
      </c>
      <c r="B501" s="330" t="s">
        <v>15</v>
      </c>
      <c r="C501" s="331">
        <v>16493282176</v>
      </c>
      <c r="D501" s="331">
        <v>11071722548</v>
      </c>
      <c r="E501" s="331">
        <v>319605919</v>
      </c>
      <c r="F501" s="331">
        <v>203618</v>
      </c>
      <c r="G501" s="332">
        <f t="shared" si="14"/>
        <v>1.2345511210394028E-5</v>
      </c>
      <c r="H501" s="331">
        <v>174995</v>
      </c>
      <c r="I501" s="331">
        <v>0</v>
      </c>
      <c r="J501" s="331">
        <f t="shared" si="15"/>
        <v>174995</v>
      </c>
      <c r="K501" s="199">
        <v>2.9</v>
      </c>
      <c r="L501" s="199">
        <v>1.82</v>
      </c>
    </row>
    <row r="502" spans="1:12" ht="15" customHeight="1" x14ac:dyDescent="0.25">
      <c r="A502" s="49">
        <v>2012</v>
      </c>
      <c r="B502" s="330" t="s">
        <v>15</v>
      </c>
      <c r="C502" s="331">
        <v>16900206300</v>
      </c>
      <c r="D502" s="331">
        <v>11411923332</v>
      </c>
      <c r="E502" s="331">
        <v>324635994</v>
      </c>
      <c r="F502" s="331">
        <v>162419</v>
      </c>
      <c r="G502" s="332">
        <f t="shared" si="14"/>
        <v>9.6104743999485978E-6</v>
      </c>
      <c r="H502" s="331">
        <v>288566</v>
      </c>
      <c r="I502" s="331">
        <v>0</v>
      </c>
      <c r="J502" s="331">
        <f t="shared" si="15"/>
        <v>288566</v>
      </c>
      <c r="K502" s="199">
        <v>2.84</v>
      </c>
      <c r="L502" s="199">
        <v>1.82</v>
      </c>
    </row>
    <row r="503" spans="1:12" ht="15" customHeight="1" x14ac:dyDescent="0.25">
      <c r="A503" s="49">
        <v>2013</v>
      </c>
      <c r="B503" s="330" t="s">
        <v>15</v>
      </c>
      <c r="C503" s="331">
        <v>17783922349</v>
      </c>
      <c r="D503" s="331">
        <v>11984801945</v>
      </c>
      <c r="E503" s="331">
        <v>283090146</v>
      </c>
      <c r="F503" s="331">
        <v>130891</v>
      </c>
      <c r="G503" s="332">
        <f t="shared" si="14"/>
        <v>7.3600748716359566E-6</v>
      </c>
      <c r="H503" s="331">
        <v>403389</v>
      </c>
      <c r="I503" s="331">
        <v>0</v>
      </c>
      <c r="J503" s="331">
        <f t="shared" si="15"/>
        <v>403389</v>
      </c>
      <c r="K503" s="199">
        <v>2.36</v>
      </c>
      <c r="L503" s="199">
        <v>1.82</v>
      </c>
    </row>
    <row r="504" spans="1:12" ht="15" customHeight="1" x14ac:dyDescent="0.25">
      <c r="A504" s="49">
        <v>2014</v>
      </c>
      <c r="B504" s="330" t="s">
        <v>15</v>
      </c>
      <c r="C504" s="331">
        <v>18889209630</v>
      </c>
      <c r="D504" s="331">
        <v>12557762111</v>
      </c>
      <c r="E504" s="331">
        <v>199286809</v>
      </c>
      <c r="F504" s="331">
        <v>110405</v>
      </c>
      <c r="G504" s="332">
        <f t="shared" si="14"/>
        <v>5.8448713399132303E-6</v>
      </c>
      <c r="H504" s="331">
        <v>482940</v>
      </c>
      <c r="I504" s="331">
        <v>0</v>
      </c>
      <c r="J504" s="331">
        <f t="shared" si="15"/>
        <v>482940</v>
      </c>
      <c r="K504" s="333">
        <v>1.5869611738020921</v>
      </c>
      <c r="L504" s="199">
        <v>1.82</v>
      </c>
    </row>
    <row r="505" spans="1:12" ht="15" customHeight="1" x14ac:dyDescent="0.25">
      <c r="A505" s="49">
        <v>2015</v>
      </c>
      <c r="B505" s="330" t="s">
        <v>15</v>
      </c>
      <c r="C505" s="334">
        <v>19815961000</v>
      </c>
      <c r="D505" s="334">
        <v>13371786000</v>
      </c>
      <c r="E505" s="334">
        <v>143462000</v>
      </c>
      <c r="F505" s="331">
        <v>95348</v>
      </c>
      <c r="G505" s="332">
        <f t="shared" si="14"/>
        <v>4.8116768094164091E-6</v>
      </c>
      <c r="H505" s="331">
        <v>458989</v>
      </c>
      <c r="I505" s="199">
        <v>0</v>
      </c>
      <c r="J505" s="331">
        <f t="shared" si="15"/>
        <v>458989</v>
      </c>
      <c r="K505" s="199">
        <v>1.3</v>
      </c>
      <c r="L505" s="199">
        <v>1.82</v>
      </c>
    </row>
    <row r="506" spans="1:12" ht="15" customHeight="1" x14ac:dyDescent="0.25">
      <c r="A506" s="49">
        <v>1980</v>
      </c>
      <c r="B506" s="330" t="s">
        <v>16</v>
      </c>
      <c r="C506" s="331">
        <v>61004010326</v>
      </c>
      <c r="D506" s="331">
        <v>24913006040</v>
      </c>
      <c r="E506" s="331">
        <v>835832243</v>
      </c>
      <c r="F506" s="331">
        <v>1205902</v>
      </c>
      <c r="G506" s="332">
        <f t="shared" si="14"/>
        <v>1.9767585664545119E-5</v>
      </c>
      <c r="H506" s="331">
        <v>66267</v>
      </c>
      <c r="I506" s="331">
        <v>984000</v>
      </c>
      <c r="J506" s="331">
        <f t="shared" si="15"/>
        <v>-917733</v>
      </c>
      <c r="K506" s="199">
        <v>3.36</v>
      </c>
      <c r="L506" s="199">
        <v>1.99</v>
      </c>
    </row>
    <row r="507" spans="1:12" ht="15" customHeight="1" x14ac:dyDescent="0.25">
      <c r="A507" s="49">
        <v>1981</v>
      </c>
      <c r="B507" s="330" t="s">
        <v>16</v>
      </c>
      <c r="C507" s="331">
        <v>64178895277</v>
      </c>
      <c r="D507" s="331">
        <v>24796048273</v>
      </c>
      <c r="E507" s="331">
        <v>792553414</v>
      </c>
      <c r="F507" s="331">
        <v>1199868</v>
      </c>
      <c r="G507" s="332">
        <f t="shared" si="14"/>
        <v>1.869567861555262E-5</v>
      </c>
      <c r="H507" s="331">
        <v>24526</v>
      </c>
      <c r="I507" s="331">
        <v>1405433</v>
      </c>
      <c r="J507" s="331">
        <f t="shared" si="15"/>
        <v>-1380907</v>
      </c>
      <c r="K507" s="199">
        <v>3.2</v>
      </c>
      <c r="L507" s="199">
        <v>2.0499999999999998</v>
      </c>
    </row>
    <row r="508" spans="1:12" ht="15" customHeight="1" x14ac:dyDescent="0.25">
      <c r="A508" s="49">
        <v>1982</v>
      </c>
      <c r="B508" s="330" t="s">
        <v>16</v>
      </c>
      <c r="C508" s="331">
        <v>65308964044</v>
      </c>
      <c r="D508" s="331">
        <v>25229450377</v>
      </c>
      <c r="E508" s="331">
        <v>957150032</v>
      </c>
      <c r="F508" s="331">
        <v>1576263</v>
      </c>
      <c r="G508" s="332">
        <f t="shared" si="14"/>
        <v>2.4135477006464826E-5</v>
      </c>
      <c r="H508" s="331">
        <v>0</v>
      </c>
      <c r="I508" s="331">
        <v>2069018</v>
      </c>
      <c r="J508" s="331">
        <f t="shared" si="15"/>
        <v>-2069018</v>
      </c>
      <c r="K508" s="199">
        <v>3.79</v>
      </c>
      <c r="L508" s="199">
        <v>2.2799999999999998</v>
      </c>
    </row>
    <row r="509" spans="1:12" ht="15" customHeight="1" x14ac:dyDescent="0.25">
      <c r="A509" s="49">
        <v>1983</v>
      </c>
      <c r="B509" s="330" t="s">
        <v>16</v>
      </c>
      <c r="C509" s="331">
        <v>67078911718</v>
      </c>
      <c r="D509" s="331">
        <v>27518265771</v>
      </c>
      <c r="E509" s="331">
        <v>1065726460</v>
      </c>
      <c r="F509" s="331">
        <v>1361443</v>
      </c>
      <c r="G509" s="332">
        <f t="shared" si="14"/>
        <v>2.0296140249315786E-5</v>
      </c>
      <c r="H509" s="331">
        <v>0</v>
      </c>
      <c r="I509" s="331">
        <v>2418204</v>
      </c>
      <c r="J509" s="331">
        <f t="shared" si="15"/>
        <v>-2418204</v>
      </c>
      <c r="K509" s="199">
        <v>3.87</v>
      </c>
      <c r="L509" s="199">
        <v>2.33</v>
      </c>
    </row>
    <row r="510" spans="1:12" ht="15" customHeight="1" x14ac:dyDescent="0.25">
      <c r="A510" s="49">
        <v>1984</v>
      </c>
      <c r="B510" s="330" t="s">
        <v>16</v>
      </c>
      <c r="C510" s="331">
        <v>73941729838</v>
      </c>
      <c r="D510" s="331">
        <v>29278766084</v>
      </c>
      <c r="E510" s="331">
        <v>1340137848</v>
      </c>
      <c r="F510" s="331">
        <v>779586</v>
      </c>
      <c r="G510" s="332">
        <f t="shared" si="14"/>
        <v>1.0543248064496276E-5</v>
      </c>
      <c r="H510" s="331">
        <v>0</v>
      </c>
      <c r="I510" s="331">
        <v>1707232</v>
      </c>
      <c r="J510" s="331">
        <f t="shared" si="15"/>
        <v>-1707232</v>
      </c>
      <c r="K510" s="199">
        <v>4.58</v>
      </c>
      <c r="L510" s="199">
        <v>2.33</v>
      </c>
    </row>
    <row r="511" spans="1:12" ht="15" customHeight="1" x14ac:dyDescent="0.25">
      <c r="A511" s="49">
        <v>1985</v>
      </c>
      <c r="B511" s="330" t="s">
        <v>16</v>
      </c>
      <c r="C511" s="331">
        <v>78207493899</v>
      </c>
      <c r="D511" s="331">
        <v>31225856512</v>
      </c>
      <c r="E511" s="331">
        <v>1311327896</v>
      </c>
      <c r="F511" s="331">
        <v>879027</v>
      </c>
      <c r="G511" s="332">
        <f t="shared" si="14"/>
        <v>1.1239677378426259E-5</v>
      </c>
      <c r="H511" s="331">
        <v>45295</v>
      </c>
      <c r="I511" s="331">
        <v>1124267</v>
      </c>
      <c r="J511" s="331">
        <f t="shared" si="15"/>
        <v>-1078972</v>
      </c>
      <c r="K511" s="199">
        <v>4.2</v>
      </c>
      <c r="L511" s="199">
        <v>2.33</v>
      </c>
    </row>
    <row r="512" spans="1:12" ht="15" customHeight="1" x14ac:dyDescent="0.25">
      <c r="A512" s="49">
        <v>1986</v>
      </c>
      <c r="B512" s="330" t="s">
        <v>16</v>
      </c>
      <c r="C512" s="331">
        <v>84938100837</v>
      </c>
      <c r="D512" s="331">
        <v>32075177784</v>
      </c>
      <c r="E512" s="331">
        <v>1280385190</v>
      </c>
      <c r="F512" s="331">
        <v>857457</v>
      </c>
      <c r="G512" s="332">
        <f t="shared" si="14"/>
        <v>1.0095080906570989E-5</v>
      </c>
      <c r="H512" s="331">
        <v>473810</v>
      </c>
      <c r="I512" s="331">
        <v>888670</v>
      </c>
      <c r="J512" s="331">
        <f t="shared" si="15"/>
        <v>-414860</v>
      </c>
      <c r="K512" s="199">
        <v>3.99</v>
      </c>
      <c r="L512" s="199">
        <v>2.33</v>
      </c>
    </row>
    <row r="513" spans="1:12" ht="15" customHeight="1" x14ac:dyDescent="0.25">
      <c r="A513" s="49">
        <v>1987</v>
      </c>
      <c r="B513" s="330" t="s">
        <v>16</v>
      </c>
      <c r="C513" s="331">
        <v>88568374795</v>
      </c>
      <c r="D513" s="331">
        <v>33192930746</v>
      </c>
      <c r="E513" s="331">
        <v>1194436660</v>
      </c>
      <c r="F513" s="331">
        <v>784660</v>
      </c>
      <c r="G513" s="332">
        <f t="shared" si="14"/>
        <v>8.8593699705585746E-6</v>
      </c>
      <c r="H513" s="331">
        <v>313649</v>
      </c>
      <c r="I513" s="331">
        <v>0</v>
      </c>
      <c r="J513" s="331">
        <f t="shared" si="15"/>
        <v>313649</v>
      </c>
      <c r="K513" s="199">
        <v>3.6</v>
      </c>
      <c r="L513" s="199">
        <v>2.33</v>
      </c>
    </row>
    <row r="514" spans="1:12" ht="15" customHeight="1" x14ac:dyDescent="0.25">
      <c r="A514" s="49">
        <v>1988</v>
      </c>
      <c r="B514" s="330" t="s">
        <v>16</v>
      </c>
      <c r="C514" s="331">
        <v>97009569826</v>
      </c>
      <c r="D514" s="331">
        <v>35872472026</v>
      </c>
      <c r="E514" s="331">
        <v>1172621296</v>
      </c>
      <c r="F514" s="331">
        <v>690515</v>
      </c>
      <c r="G514" s="332">
        <f t="shared" ref="G514:G577" si="16">F514/C514</f>
        <v>7.1180090916652202E-6</v>
      </c>
      <c r="H514" s="331">
        <v>823625</v>
      </c>
      <c r="I514" s="331">
        <v>0</v>
      </c>
      <c r="J514" s="331">
        <f t="shared" ref="J514:J577" si="17">H514-I514</f>
        <v>823625</v>
      </c>
      <c r="K514" s="199">
        <v>3.27</v>
      </c>
      <c r="L514" s="199">
        <v>2.33</v>
      </c>
    </row>
    <row r="515" spans="1:12" ht="15" customHeight="1" x14ac:dyDescent="0.25">
      <c r="A515" s="49">
        <v>1989</v>
      </c>
      <c r="B515" s="330" t="s">
        <v>16</v>
      </c>
      <c r="C515" s="331">
        <v>101618112521</v>
      </c>
      <c r="D515" s="331">
        <v>36970257711</v>
      </c>
      <c r="E515" s="331">
        <v>1091471016</v>
      </c>
      <c r="F515" s="331">
        <v>738737</v>
      </c>
      <c r="G515" s="332">
        <f t="shared" si="16"/>
        <v>7.2697374677898638E-6</v>
      </c>
      <c r="H515" s="331">
        <v>1268153</v>
      </c>
      <c r="I515" s="331">
        <v>0</v>
      </c>
      <c r="J515" s="331">
        <f t="shared" si="17"/>
        <v>1268153</v>
      </c>
      <c r="K515" s="199">
        <v>2.95</v>
      </c>
      <c r="L515" s="199">
        <v>2.33</v>
      </c>
    </row>
    <row r="516" spans="1:12" ht="15" customHeight="1" x14ac:dyDescent="0.25">
      <c r="A516" s="49">
        <v>1990</v>
      </c>
      <c r="B516" s="330" t="s">
        <v>16</v>
      </c>
      <c r="C516" s="331">
        <v>107238935394</v>
      </c>
      <c r="D516" s="331">
        <v>37811688322</v>
      </c>
      <c r="E516" s="331">
        <v>946871494</v>
      </c>
      <c r="F516" s="331">
        <v>908189</v>
      </c>
      <c r="G516" s="332">
        <f t="shared" si="16"/>
        <v>8.4688364040847512E-6</v>
      </c>
      <c r="H516" s="331">
        <v>1459282</v>
      </c>
      <c r="I516" s="331">
        <v>0</v>
      </c>
      <c r="J516" s="331">
        <f t="shared" si="17"/>
        <v>1459282</v>
      </c>
      <c r="K516" s="199">
        <v>2.5</v>
      </c>
      <c r="L516" s="199">
        <v>2.33</v>
      </c>
    </row>
    <row r="517" spans="1:12" ht="15" customHeight="1" x14ac:dyDescent="0.25">
      <c r="A517" s="49">
        <v>1991</v>
      </c>
      <c r="B517" s="330" t="s">
        <v>16</v>
      </c>
      <c r="C517" s="331">
        <v>108893887211</v>
      </c>
      <c r="D517" s="331">
        <v>37709838409</v>
      </c>
      <c r="E517" s="331">
        <v>864118560</v>
      </c>
      <c r="F517" s="331">
        <v>1272517</v>
      </c>
      <c r="G517" s="332">
        <f t="shared" si="16"/>
        <v>1.1685844197427601E-5</v>
      </c>
      <c r="H517" s="331">
        <v>1172283</v>
      </c>
      <c r="I517" s="331">
        <v>0</v>
      </c>
      <c r="J517" s="331">
        <f t="shared" si="17"/>
        <v>1172283</v>
      </c>
      <c r="K517" s="199">
        <v>2.29</v>
      </c>
      <c r="L517" s="199">
        <v>2.33</v>
      </c>
    </row>
    <row r="518" spans="1:12" ht="15" customHeight="1" x14ac:dyDescent="0.25">
      <c r="A518" s="49">
        <v>1992</v>
      </c>
      <c r="B518" s="330" t="s">
        <v>16</v>
      </c>
      <c r="C518" s="331">
        <v>115160435059</v>
      </c>
      <c r="D518" s="331">
        <v>37774593444</v>
      </c>
      <c r="E518" s="331">
        <v>928224156</v>
      </c>
      <c r="F518" s="331">
        <v>1277517</v>
      </c>
      <c r="G518" s="332">
        <f t="shared" si="16"/>
        <v>1.1093367260600321E-5</v>
      </c>
      <c r="H518" s="331">
        <v>847622</v>
      </c>
      <c r="I518" s="331">
        <v>0</v>
      </c>
      <c r="J518" s="331">
        <f t="shared" si="17"/>
        <v>847622</v>
      </c>
      <c r="K518" s="199">
        <v>2.46</v>
      </c>
      <c r="L518" s="199">
        <v>2.33</v>
      </c>
    </row>
    <row r="519" spans="1:12" ht="15" customHeight="1" x14ac:dyDescent="0.25">
      <c r="A519" s="49">
        <v>1993</v>
      </c>
      <c r="B519" s="330" t="s">
        <v>16</v>
      </c>
      <c r="C519" s="331">
        <v>119283670471</v>
      </c>
      <c r="D519" s="331">
        <v>38569650730</v>
      </c>
      <c r="E519" s="331">
        <v>1163246728</v>
      </c>
      <c r="F519" s="331">
        <v>1185772</v>
      </c>
      <c r="G519" s="332">
        <f t="shared" si="16"/>
        <v>9.940773915808388E-6</v>
      </c>
      <c r="H519" s="331">
        <v>851918</v>
      </c>
      <c r="I519" s="331">
        <v>0</v>
      </c>
      <c r="J519" s="331">
        <f t="shared" si="17"/>
        <v>851918</v>
      </c>
      <c r="K519" s="199">
        <v>3.02</v>
      </c>
      <c r="L519" s="199">
        <v>2.33</v>
      </c>
    </row>
    <row r="520" spans="1:12" ht="15" customHeight="1" x14ac:dyDescent="0.25">
      <c r="A520" s="49">
        <v>1994</v>
      </c>
      <c r="B520" s="330" t="s">
        <v>16</v>
      </c>
      <c r="C520" s="331">
        <v>125651069034</v>
      </c>
      <c r="D520" s="331">
        <v>40406114563</v>
      </c>
      <c r="E520" s="331">
        <v>1387357560</v>
      </c>
      <c r="F520" s="331">
        <v>1043863</v>
      </c>
      <c r="G520" s="332">
        <f t="shared" si="16"/>
        <v>8.30763325791952E-6</v>
      </c>
      <c r="H520" s="331">
        <v>1247066</v>
      </c>
      <c r="I520" s="331">
        <v>0</v>
      </c>
      <c r="J520" s="331">
        <f t="shared" si="17"/>
        <v>1247066</v>
      </c>
      <c r="K520" s="199">
        <v>3.43</v>
      </c>
      <c r="L520" s="199">
        <v>2.33</v>
      </c>
    </row>
    <row r="521" spans="1:12" ht="15" customHeight="1" x14ac:dyDescent="0.25">
      <c r="A521" s="49">
        <v>1995</v>
      </c>
      <c r="B521" s="330" t="s">
        <v>16</v>
      </c>
      <c r="C521" s="331">
        <v>133772208666</v>
      </c>
      <c r="D521" s="331">
        <v>41592017213</v>
      </c>
      <c r="E521" s="331">
        <v>1357209286</v>
      </c>
      <c r="F521" s="331">
        <v>1075674</v>
      </c>
      <c r="G521" s="332">
        <f t="shared" si="16"/>
        <v>8.0410872387232777E-6</v>
      </c>
      <c r="H521" s="331">
        <v>1629210</v>
      </c>
      <c r="I521" s="331">
        <v>0</v>
      </c>
      <c r="J521" s="331">
        <f t="shared" si="17"/>
        <v>1629210</v>
      </c>
      <c r="K521" s="199">
        <v>3.26</v>
      </c>
      <c r="L521" s="199">
        <v>2.33</v>
      </c>
    </row>
    <row r="522" spans="1:12" ht="15" customHeight="1" x14ac:dyDescent="0.25">
      <c r="A522" s="49">
        <v>1996</v>
      </c>
      <c r="B522" s="330" t="s">
        <v>16</v>
      </c>
      <c r="C522" s="331">
        <v>141414356246</v>
      </c>
      <c r="D522" s="331">
        <v>42824323316</v>
      </c>
      <c r="E522" s="331">
        <v>1097671835</v>
      </c>
      <c r="F522" s="331">
        <v>1220522</v>
      </c>
      <c r="G522" s="332">
        <f t="shared" si="16"/>
        <v>8.630821031188786E-6</v>
      </c>
      <c r="H522" s="331">
        <v>1638560</v>
      </c>
      <c r="I522" s="331">
        <v>0</v>
      </c>
      <c r="J522" s="331">
        <f t="shared" si="17"/>
        <v>1638560</v>
      </c>
      <c r="K522" s="199">
        <v>2.56</v>
      </c>
      <c r="L522" s="199">
        <v>2.33</v>
      </c>
    </row>
    <row r="523" spans="1:12" ht="15" customHeight="1" x14ac:dyDescent="0.25">
      <c r="A523" s="49">
        <v>1997</v>
      </c>
      <c r="B523" s="330" t="s">
        <v>16</v>
      </c>
      <c r="C523" s="331">
        <v>152704850639</v>
      </c>
      <c r="D523" s="331">
        <v>44545225376</v>
      </c>
      <c r="E523" s="331">
        <v>1110683502</v>
      </c>
      <c r="F523" s="331">
        <v>1109826</v>
      </c>
      <c r="G523" s="332">
        <f t="shared" si="16"/>
        <v>7.2677848500285713E-6</v>
      </c>
      <c r="H523" s="331">
        <v>1742968</v>
      </c>
      <c r="I523" s="331">
        <v>0</v>
      </c>
      <c r="J523" s="331">
        <f t="shared" si="17"/>
        <v>1742968</v>
      </c>
      <c r="K523" s="199">
        <v>2.4900000000000002</v>
      </c>
      <c r="L523" s="199">
        <v>2.33</v>
      </c>
    </row>
    <row r="524" spans="1:12" ht="15" customHeight="1" x14ac:dyDescent="0.25">
      <c r="A524" s="49">
        <v>1998</v>
      </c>
      <c r="B524" s="330" t="s">
        <v>16</v>
      </c>
      <c r="C524" s="331">
        <v>164742529351</v>
      </c>
      <c r="D524" s="331">
        <v>45841028414</v>
      </c>
      <c r="E524" s="331">
        <v>1118420329</v>
      </c>
      <c r="F524" s="331">
        <v>1042860</v>
      </c>
      <c r="G524" s="332">
        <f t="shared" si="16"/>
        <v>6.3302415235964068E-6</v>
      </c>
      <c r="H524" s="331">
        <v>1928620</v>
      </c>
      <c r="I524" s="331">
        <v>0</v>
      </c>
      <c r="J524" s="331">
        <f t="shared" si="17"/>
        <v>1928620</v>
      </c>
      <c r="K524" s="199">
        <v>2.44</v>
      </c>
      <c r="L524" s="199">
        <v>2.33</v>
      </c>
    </row>
    <row r="525" spans="1:12" ht="15" customHeight="1" x14ac:dyDescent="0.25">
      <c r="A525" s="49">
        <v>1999</v>
      </c>
      <c r="B525" s="330" t="s">
        <v>16</v>
      </c>
      <c r="C525" s="331">
        <v>174382426896</v>
      </c>
      <c r="D525" s="331">
        <v>47065936127</v>
      </c>
      <c r="E525" s="331">
        <v>1108564615</v>
      </c>
      <c r="F525" s="331">
        <v>1121797</v>
      </c>
      <c r="G525" s="332">
        <f t="shared" si="16"/>
        <v>6.4329704544657409E-6</v>
      </c>
      <c r="H525" s="331">
        <v>2041984</v>
      </c>
      <c r="I525" s="331">
        <v>0</v>
      </c>
      <c r="J525" s="331">
        <f t="shared" si="17"/>
        <v>2041984</v>
      </c>
      <c r="K525" s="199">
        <v>2.36</v>
      </c>
      <c r="L525" s="199">
        <v>2.33</v>
      </c>
    </row>
    <row r="526" spans="1:12" x14ac:dyDescent="0.25">
      <c r="A526" s="49">
        <v>2000</v>
      </c>
      <c r="B526" s="330" t="s">
        <v>16</v>
      </c>
      <c r="C526" s="331">
        <v>185873789153</v>
      </c>
      <c r="D526" s="331">
        <v>48468684373</v>
      </c>
      <c r="E526" s="331">
        <v>1060526861</v>
      </c>
      <c r="F526" s="331">
        <v>1155272</v>
      </c>
      <c r="G526" s="332">
        <f t="shared" si="16"/>
        <v>6.2153572338757796E-6</v>
      </c>
      <c r="H526" s="331">
        <v>2091829</v>
      </c>
      <c r="I526" s="331">
        <v>0</v>
      </c>
      <c r="J526" s="331">
        <f t="shared" si="17"/>
        <v>2091829</v>
      </c>
      <c r="K526" s="199">
        <v>2.19</v>
      </c>
      <c r="L526" s="199">
        <v>2.33</v>
      </c>
    </row>
    <row r="527" spans="1:12" ht="15" customHeight="1" x14ac:dyDescent="0.25">
      <c r="A527" s="49">
        <v>2001</v>
      </c>
      <c r="B527" s="330" t="s">
        <v>16</v>
      </c>
      <c r="C527" s="331">
        <v>187717136193</v>
      </c>
      <c r="D527" s="331">
        <v>47464893055</v>
      </c>
      <c r="E527" s="331">
        <v>974474717</v>
      </c>
      <c r="F527" s="331">
        <v>1841964</v>
      </c>
      <c r="G527" s="332">
        <f t="shared" si="16"/>
        <v>9.8124446033855867E-6</v>
      </c>
      <c r="H527" s="331">
        <v>1382445</v>
      </c>
      <c r="I527" s="331">
        <v>0</v>
      </c>
      <c r="J527" s="331">
        <f t="shared" si="17"/>
        <v>1382445</v>
      </c>
      <c r="K527" s="199">
        <v>2.0499999999999998</v>
      </c>
      <c r="L527" s="199">
        <v>2.31</v>
      </c>
    </row>
    <row r="528" spans="1:12" ht="15" customHeight="1" x14ac:dyDescent="0.25">
      <c r="A528" s="49">
        <v>2002</v>
      </c>
      <c r="B528" s="330" t="s">
        <v>16</v>
      </c>
      <c r="C528" s="331">
        <v>184532726239</v>
      </c>
      <c r="D528" s="331">
        <v>45952088507</v>
      </c>
      <c r="E528" s="331">
        <v>1044220157</v>
      </c>
      <c r="F528" s="331">
        <v>2347328</v>
      </c>
      <c r="G528" s="332">
        <f t="shared" si="16"/>
        <v>1.2720388669486339E-5</v>
      </c>
      <c r="H528" s="331">
        <v>447894</v>
      </c>
      <c r="I528" s="331">
        <v>0</v>
      </c>
      <c r="J528" s="331">
        <f t="shared" si="17"/>
        <v>447894</v>
      </c>
      <c r="K528" s="199">
        <v>2.27</v>
      </c>
      <c r="L528" s="199">
        <v>2.31</v>
      </c>
    </row>
    <row r="529" spans="1:12" ht="15" customHeight="1" x14ac:dyDescent="0.25">
      <c r="A529" s="49">
        <v>2003</v>
      </c>
      <c r="B529" s="330" t="s">
        <v>16</v>
      </c>
      <c r="C529" s="331">
        <v>185553064845</v>
      </c>
      <c r="D529" s="331">
        <v>45167505580</v>
      </c>
      <c r="E529" s="331">
        <v>1333158159</v>
      </c>
      <c r="F529" s="331">
        <v>2340076</v>
      </c>
      <c r="G529" s="332">
        <f t="shared" si="16"/>
        <v>1.2611357306087939E-5</v>
      </c>
      <c r="H529" s="331">
        <v>4959</v>
      </c>
      <c r="I529" s="331">
        <v>511267</v>
      </c>
      <c r="J529" s="331">
        <f t="shared" si="17"/>
        <v>-506308</v>
      </c>
      <c r="K529" s="199">
        <v>2.95</v>
      </c>
      <c r="L529" s="199">
        <v>2.31</v>
      </c>
    </row>
    <row r="530" spans="1:12" ht="15" customHeight="1" x14ac:dyDescent="0.25">
      <c r="A530" s="49">
        <v>2004</v>
      </c>
      <c r="B530" s="330" t="s">
        <v>16</v>
      </c>
      <c r="C530" s="331">
        <v>193718423495</v>
      </c>
      <c r="D530" s="331">
        <v>48556998277</v>
      </c>
      <c r="E530" s="331">
        <v>2004545331</v>
      </c>
      <c r="F530" s="331">
        <v>1954285</v>
      </c>
      <c r="G530" s="332">
        <f t="shared" si="16"/>
        <v>1.0088276400052581E-5</v>
      </c>
      <c r="H530" s="331">
        <v>150742</v>
      </c>
      <c r="I530" s="331">
        <v>0</v>
      </c>
      <c r="J530" s="331">
        <f t="shared" si="17"/>
        <v>150742</v>
      </c>
      <c r="K530" s="199">
        <v>4.13</v>
      </c>
      <c r="L530" s="199">
        <v>2.31</v>
      </c>
    </row>
    <row r="531" spans="1:12" ht="15" customHeight="1" x14ac:dyDescent="0.25">
      <c r="A531" s="49">
        <v>2005</v>
      </c>
      <c r="B531" s="330" t="s">
        <v>16</v>
      </c>
      <c r="C531" s="331">
        <v>202542170715</v>
      </c>
      <c r="D531" s="331">
        <v>52177844431</v>
      </c>
      <c r="E531" s="331">
        <v>2658223836</v>
      </c>
      <c r="F531" s="331">
        <v>1702912</v>
      </c>
      <c r="G531" s="332">
        <f t="shared" si="16"/>
        <v>8.4076910699065824E-6</v>
      </c>
      <c r="H531" s="331">
        <v>488390</v>
      </c>
      <c r="I531" s="331">
        <v>0</v>
      </c>
      <c r="J531" s="331">
        <f t="shared" si="17"/>
        <v>488390</v>
      </c>
      <c r="K531" s="199">
        <v>5.09</v>
      </c>
      <c r="L531" s="199">
        <v>2.31</v>
      </c>
    </row>
    <row r="532" spans="1:12" ht="15" customHeight="1" x14ac:dyDescent="0.25">
      <c r="A532" s="49">
        <v>2006</v>
      </c>
      <c r="B532" s="330" t="s">
        <v>16</v>
      </c>
      <c r="C532" s="331">
        <v>214716649760</v>
      </c>
      <c r="D532" s="331">
        <v>55337905442</v>
      </c>
      <c r="E532" s="331">
        <v>2454678739</v>
      </c>
      <c r="F532" s="331">
        <v>1563754</v>
      </c>
      <c r="G532" s="332">
        <f t="shared" si="16"/>
        <v>7.2828725753121125E-6</v>
      </c>
      <c r="H532" s="331">
        <v>1280863</v>
      </c>
      <c r="I532" s="331">
        <v>0</v>
      </c>
      <c r="J532" s="331">
        <f t="shared" si="17"/>
        <v>1280863</v>
      </c>
      <c r="K532" s="199">
        <v>4.4400000000000004</v>
      </c>
      <c r="L532" s="199">
        <v>2.31</v>
      </c>
    </row>
    <row r="533" spans="1:12" ht="15" customHeight="1" x14ac:dyDescent="0.25">
      <c r="A533" s="49">
        <v>2007</v>
      </c>
      <c r="B533" s="330" t="s">
        <v>16</v>
      </c>
      <c r="C533" s="331">
        <v>226422929871</v>
      </c>
      <c r="D533" s="331">
        <v>58079429090</v>
      </c>
      <c r="E533" s="331">
        <v>2173590352</v>
      </c>
      <c r="F533" s="331">
        <v>1758189</v>
      </c>
      <c r="G533" s="332">
        <f t="shared" si="16"/>
        <v>7.7650660249016894E-6</v>
      </c>
      <c r="H533" s="331">
        <v>1801983</v>
      </c>
      <c r="I533" s="331">
        <v>0</v>
      </c>
      <c r="J533" s="331">
        <f t="shared" si="17"/>
        <v>1801983</v>
      </c>
      <c r="K533" s="199">
        <v>3.74</v>
      </c>
      <c r="L533" s="199">
        <v>2.31</v>
      </c>
    </row>
    <row r="534" spans="1:12" ht="15" customHeight="1" x14ac:dyDescent="0.25">
      <c r="A534" s="49">
        <v>2008</v>
      </c>
      <c r="B534" s="330" t="s">
        <v>16</v>
      </c>
      <c r="C534" s="331">
        <v>228631272164</v>
      </c>
      <c r="D534" s="331">
        <v>59478546839</v>
      </c>
      <c r="E534" s="331">
        <v>1755847145</v>
      </c>
      <c r="F534" s="331">
        <v>2209468</v>
      </c>
      <c r="G534" s="332">
        <f t="shared" si="16"/>
        <v>9.6638923410928738E-6</v>
      </c>
      <c r="H534" s="331">
        <v>1456078</v>
      </c>
      <c r="I534" s="331">
        <v>0</v>
      </c>
      <c r="J534" s="331">
        <f t="shared" si="17"/>
        <v>1456078</v>
      </c>
      <c r="K534" s="199">
        <v>3</v>
      </c>
      <c r="L534" s="199">
        <v>2.31</v>
      </c>
    </row>
    <row r="535" spans="1:12" ht="15" customHeight="1" x14ac:dyDescent="0.25">
      <c r="A535" s="49">
        <v>2009</v>
      </c>
      <c r="B535" s="330" t="s">
        <v>16</v>
      </c>
      <c r="C535" s="331">
        <v>210603737919</v>
      </c>
      <c r="D535" s="331">
        <v>56115616848</v>
      </c>
      <c r="E535" s="331">
        <v>1368052991</v>
      </c>
      <c r="F535" s="331">
        <v>4286691</v>
      </c>
      <c r="G535" s="332">
        <f t="shared" si="16"/>
        <v>2.0354296853214914E-5</v>
      </c>
      <c r="H535" s="331">
        <v>8975</v>
      </c>
      <c r="I535" s="331">
        <v>1168532</v>
      </c>
      <c r="J535" s="331">
        <f t="shared" si="17"/>
        <v>-1159557</v>
      </c>
      <c r="K535" s="199">
        <v>2.4</v>
      </c>
      <c r="L535" s="199">
        <v>1.52</v>
      </c>
    </row>
    <row r="536" spans="1:12" ht="15" customHeight="1" x14ac:dyDescent="0.25">
      <c r="A536" s="49">
        <v>2010</v>
      </c>
      <c r="B536" s="330" t="s">
        <v>16</v>
      </c>
      <c r="C536" s="331">
        <v>213461624414</v>
      </c>
      <c r="D536" s="331">
        <v>56681048886</v>
      </c>
      <c r="E536" s="331">
        <v>1859796730</v>
      </c>
      <c r="F536" s="331">
        <v>2895592</v>
      </c>
      <c r="G536" s="332">
        <f t="shared" si="16"/>
        <v>1.3564930033438325E-5</v>
      </c>
      <c r="H536" s="331">
        <v>1509</v>
      </c>
      <c r="I536" s="331">
        <v>2375751</v>
      </c>
      <c r="J536" s="331">
        <f t="shared" si="17"/>
        <v>-2374242</v>
      </c>
      <c r="K536" s="199">
        <v>3.3</v>
      </c>
      <c r="L536" s="199">
        <v>1.56</v>
      </c>
    </row>
    <row r="537" spans="1:12" ht="15" customHeight="1" x14ac:dyDescent="0.25">
      <c r="A537" s="49">
        <v>2011</v>
      </c>
      <c r="B537" s="330" t="s">
        <v>16</v>
      </c>
      <c r="C537" s="331">
        <v>223484931381</v>
      </c>
      <c r="D537" s="331">
        <v>58955633911</v>
      </c>
      <c r="E537" s="331">
        <v>2594090180</v>
      </c>
      <c r="F537" s="331">
        <v>2231359</v>
      </c>
      <c r="G537" s="332">
        <f t="shared" si="16"/>
        <v>9.9843823304397665E-6</v>
      </c>
      <c r="H537" s="331">
        <v>0</v>
      </c>
      <c r="I537" s="331">
        <v>2132155</v>
      </c>
      <c r="J537" s="331">
        <f t="shared" si="17"/>
        <v>-2132155</v>
      </c>
      <c r="K537" s="199">
        <v>4.4000000000000004</v>
      </c>
      <c r="L537" s="199">
        <v>1.56</v>
      </c>
    </row>
    <row r="538" spans="1:12" ht="15" customHeight="1" x14ac:dyDescent="0.25">
      <c r="A538" s="49">
        <v>2012</v>
      </c>
      <c r="B538" s="330" t="s">
        <v>16</v>
      </c>
      <c r="C538" s="331">
        <v>233506591266</v>
      </c>
      <c r="D538" s="331">
        <v>62925552620</v>
      </c>
      <c r="E538" s="331">
        <v>3216666204</v>
      </c>
      <c r="F538" s="331">
        <v>2081444</v>
      </c>
      <c r="G538" s="332">
        <f t="shared" si="16"/>
        <v>8.9138554450007559E-6</v>
      </c>
      <c r="H538" s="331">
        <v>575310</v>
      </c>
      <c r="I538" s="331">
        <v>0</v>
      </c>
      <c r="J538" s="331">
        <f t="shared" si="17"/>
        <v>575310</v>
      </c>
      <c r="K538" s="199">
        <v>5.1100000000000003</v>
      </c>
      <c r="L538" s="199">
        <v>1.56</v>
      </c>
    </row>
    <row r="539" spans="1:12" ht="15" customHeight="1" x14ac:dyDescent="0.25">
      <c r="A539" s="49">
        <v>2013</v>
      </c>
      <c r="B539" s="330" t="s">
        <v>16</v>
      </c>
      <c r="C539" s="331">
        <v>237251666231</v>
      </c>
      <c r="D539" s="331">
        <v>61409830566</v>
      </c>
      <c r="E539" s="331">
        <v>2785250984</v>
      </c>
      <c r="F539" s="331">
        <v>2076367</v>
      </c>
      <c r="G539" s="332">
        <f t="shared" si="16"/>
        <v>8.7517488622328409E-6</v>
      </c>
      <c r="H539" s="331">
        <v>1004494</v>
      </c>
      <c r="I539" s="331">
        <v>0</v>
      </c>
      <c r="J539" s="331">
        <f t="shared" si="17"/>
        <v>1004494</v>
      </c>
      <c r="K539" s="199">
        <v>4.53</v>
      </c>
      <c r="L539" s="199">
        <v>1.56</v>
      </c>
    </row>
    <row r="540" spans="1:12" ht="15" customHeight="1" x14ac:dyDescent="0.25">
      <c r="A540" s="49">
        <v>2014</v>
      </c>
      <c r="B540" s="330" t="s">
        <v>16</v>
      </c>
      <c r="C540" s="331">
        <v>248415313746</v>
      </c>
      <c r="D540" s="331">
        <v>63575343889</v>
      </c>
      <c r="E540" s="331">
        <v>2477693005</v>
      </c>
      <c r="F540" s="331">
        <v>1871384</v>
      </c>
      <c r="G540" s="332">
        <f t="shared" si="16"/>
        <v>7.5332875891598818E-6</v>
      </c>
      <c r="H540" s="331">
        <v>1306858</v>
      </c>
      <c r="I540" s="331">
        <v>0</v>
      </c>
      <c r="J540" s="331">
        <f t="shared" si="17"/>
        <v>1306858</v>
      </c>
      <c r="K540" s="333">
        <v>3.8972545855606424</v>
      </c>
      <c r="L540" s="199">
        <v>1.56</v>
      </c>
    </row>
    <row r="541" spans="1:12" ht="15" customHeight="1" x14ac:dyDescent="0.25">
      <c r="A541" s="49">
        <v>2015</v>
      </c>
      <c r="B541" s="330" t="s">
        <v>16</v>
      </c>
      <c r="C541" s="334">
        <v>262323427000</v>
      </c>
      <c r="D541" s="334">
        <v>65353114000</v>
      </c>
      <c r="E541" s="334">
        <v>2300973000</v>
      </c>
      <c r="F541" s="331">
        <v>1668095</v>
      </c>
      <c r="G541" s="332">
        <f t="shared" si="16"/>
        <v>6.3589250074870363E-6</v>
      </c>
      <c r="H541" s="331">
        <v>1540766</v>
      </c>
      <c r="I541" s="199">
        <v>0</v>
      </c>
      <c r="J541" s="331">
        <f t="shared" si="17"/>
        <v>1540766</v>
      </c>
      <c r="K541" s="199">
        <v>3.4</v>
      </c>
      <c r="L541" s="199">
        <v>1.56</v>
      </c>
    </row>
    <row r="542" spans="1:12" ht="15" customHeight="1" x14ac:dyDescent="0.25">
      <c r="A542" s="49">
        <v>1980</v>
      </c>
      <c r="B542" s="330" t="s">
        <v>17</v>
      </c>
      <c r="C542" s="331">
        <v>25085651683</v>
      </c>
      <c r="D542" s="331">
        <v>10421720219</v>
      </c>
      <c r="E542" s="331">
        <v>141653953</v>
      </c>
      <c r="F542" s="331">
        <v>319084</v>
      </c>
      <c r="G542" s="332">
        <f t="shared" si="16"/>
        <v>1.2719781173404249E-5</v>
      </c>
      <c r="H542" s="331">
        <v>231270</v>
      </c>
      <c r="I542" s="331">
        <v>0</v>
      </c>
      <c r="J542" s="331">
        <f t="shared" si="17"/>
        <v>231270</v>
      </c>
      <c r="K542" s="199">
        <v>1.36</v>
      </c>
      <c r="L542" s="199">
        <v>1.5</v>
      </c>
    </row>
    <row r="543" spans="1:12" ht="15" customHeight="1" x14ac:dyDescent="0.25">
      <c r="A543" s="49">
        <v>1981</v>
      </c>
      <c r="B543" s="330" t="s">
        <v>17</v>
      </c>
      <c r="C543" s="331">
        <v>27050909731</v>
      </c>
      <c r="D543" s="331">
        <v>10443134336</v>
      </c>
      <c r="E543" s="331">
        <v>181188101</v>
      </c>
      <c r="F543" s="331">
        <v>236600</v>
      </c>
      <c r="G543" s="332">
        <f t="shared" si="16"/>
        <v>8.7464710929429253E-6</v>
      </c>
      <c r="H543" s="331">
        <v>176311</v>
      </c>
      <c r="I543" s="331">
        <v>0</v>
      </c>
      <c r="J543" s="331">
        <f t="shared" si="17"/>
        <v>176311</v>
      </c>
      <c r="K543" s="199">
        <v>1.73</v>
      </c>
      <c r="L543" s="199">
        <v>1.37</v>
      </c>
    </row>
    <row r="544" spans="1:12" ht="15" customHeight="1" x14ac:dyDescent="0.25">
      <c r="A544" s="49">
        <v>1982</v>
      </c>
      <c r="B544" s="330" t="s">
        <v>17</v>
      </c>
      <c r="C544" s="331">
        <v>26348151275</v>
      </c>
      <c r="D544" s="331">
        <v>9830611599</v>
      </c>
      <c r="E544" s="331">
        <v>277940324</v>
      </c>
      <c r="F544" s="331">
        <v>389443</v>
      </c>
      <c r="G544" s="332">
        <f t="shared" si="16"/>
        <v>1.4780657509337911E-5</v>
      </c>
      <c r="H544" s="331">
        <v>62717</v>
      </c>
      <c r="I544" s="331">
        <v>0</v>
      </c>
      <c r="J544" s="331">
        <f t="shared" si="17"/>
        <v>62717</v>
      </c>
      <c r="K544" s="199">
        <v>2.83</v>
      </c>
      <c r="L544" s="199">
        <v>1.58</v>
      </c>
    </row>
    <row r="545" spans="1:12" ht="15" customHeight="1" x14ac:dyDescent="0.25">
      <c r="A545" s="49">
        <v>1983</v>
      </c>
      <c r="B545" s="330" t="s">
        <v>17</v>
      </c>
      <c r="C545" s="331">
        <v>27396670123</v>
      </c>
      <c r="D545" s="331">
        <v>11087757638</v>
      </c>
      <c r="E545" s="331">
        <v>349276835</v>
      </c>
      <c r="F545" s="331">
        <v>283645</v>
      </c>
      <c r="G545" s="332">
        <f t="shared" si="16"/>
        <v>1.0353265514624527E-5</v>
      </c>
      <c r="H545" s="331">
        <v>99542</v>
      </c>
      <c r="I545" s="331">
        <v>0</v>
      </c>
      <c r="J545" s="331">
        <f t="shared" si="17"/>
        <v>99542</v>
      </c>
      <c r="K545" s="199">
        <v>3.15</v>
      </c>
      <c r="L545" s="199">
        <v>1.58</v>
      </c>
    </row>
    <row r="546" spans="1:12" ht="15" customHeight="1" x14ac:dyDescent="0.25">
      <c r="A546" s="49">
        <v>1984</v>
      </c>
      <c r="B546" s="330" t="s">
        <v>17</v>
      </c>
      <c r="C546" s="331">
        <v>30188658340</v>
      </c>
      <c r="D546" s="331">
        <v>11782834978</v>
      </c>
      <c r="E546" s="331">
        <v>311386049</v>
      </c>
      <c r="F546" s="331">
        <v>189984</v>
      </c>
      <c r="G546" s="332">
        <f t="shared" si="16"/>
        <v>6.2932243579792026E-6</v>
      </c>
      <c r="H546" s="331">
        <v>244601</v>
      </c>
      <c r="I546" s="331">
        <v>0</v>
      </c>
      <c r="J546" s="331">
        <f t="shared" si="17"/>
        <v>244601</v>
      </c>
      <c r="K546" s="199">
        <v>2.64</v>
      </c>
      <c r="L546" s="199">
        <v>1.58</v>
      </c>
    </row>
    <row r="547" spans="1:12" ht="15" customHeight="1" x14ac:dyDescent="0.25">
      <c r="A547" s="49">
        <v>1985</v>
      </c>
      <c r="B547" s="330" t="s">
        <v>17</v>
      </c>
      <c r="C547" s="331">
        <v>31960555757</v>
      </c>
      <c r="D547" s="331">
        <v>12106590023</v>
      </c>
      <c r="E547" s="331">
        <v>298829719</v>
      </c>
      <c r="F547" s="331">
        <v>183871</v>
      </c>
      <c r="G547" s="332">
        <f t="shared" si="16"/>
        <v>5.7530601594663628E-6</v>
      </c>
      <c r="H547" s="331">
        <v>392495</v>
      </c>
      <c r="I547" s="331">
        <v>0</v>
      </c>
      <c r="J547" s="331">
        <f t="shared" si="17"/>
        <v>392495</v>
      </c>
      <c r="K547" s="199">
        <v>2.4700000000000002</v>
      </c>
      <c r="L547" s="199">
        <v>1.58</v>
      </c>
    </row>
    <row r="548" spans="1:12" ht="15" customHeight="1" x14ac:dyDescent="0.25">
      <c r="A548" s="49">
        <v>1986</v>
      </c>
      <c r="B548" s="330" t="s">
        <v>17</v>
      </c>
      <c r="C548" s="331">
        <v>33635325682</v>
      </c>
      <c r="D548" s="331">
        <v>12496492605</v>
      </c>
      <c r="E548" s="331">
        <v>179439376</v>
      </c>
      <c r="F548" s="331">
        <v>187977</v>
      </c>
      <c r="G548" s="332">
        <f t="shared" si="16"/>
        <v>5.5886778614008249E-6</v>
      </c>
      <c r="H548" s="331">
        <v>436454</v>
      </c>
      <c r="I548" s="331">
        <v>0</v>
      </c>
      <c r="J548" s="331">
        <f t="shared" si="17"/>
        <v>436454</v>
      </c>
      <c r="K548" s="199">
        <v>1.44</v>
      </c>
      <c r="L548" s="199">
        <v>1.58</v>
      </c>
    </row>
    <row r="549" spans="1:12" ht="15" customHeight="1" x14ac:dyDescent="0.25">
      <c r="A549" s="49">
        <v>1987</v>
      </c>
      <c r="B549" s="330" t="s">
        <v>17</v>
      </c>
      <c r="C549" s="331">
        <v>36182121041</v>
      </c>
      <c r="D549" s="331">
        <v>13058227423</v>
      </c>
      <c r="E549" s="331">
        <v>187868470</v>
      </c>
      <c r="F549" s="331">
        <v>154022</v>
      </c>
      <c r="G549" s="332">
        <f t="shared" si="16"/>
        <v>4.256853815326885E-6</v>
      </c>
      <c r="H549" s="331">
        <v>508516</v>
      </c>
      <c r="I549" s="331">
        <v>0</v>
      </c>
      <c r="J549" s="331">
        <f t="shared" si="17"/>
        <v>508516</v>
      </c>
      <c r="K549" s="199">
        <v>1.44</v>
      </c>
      <c r="L549" s="199">
        <v>1.58</v>
      </c>
    </row>
    <row r="550" spans="1:12" ht="15" customHeight="1" x14ac:dyDescent="0.25">
      <c r="A550" s="49">
        <v>1988</v>
      </c>
      <c r="B550" s="330" t="s">
        <v>17</v>
      </c>
      <c r="C550" s="331">
        <v>39143776740</v>
      </c>
      <c r="D550" s="331">
        <v>13818234264</v>
      </c>
      <c r="E550" s="331">
        <v>200977432</v>
      </c>
      <c r="F550" s="331">
        <v>121409</v>
      </c>
      <c r="G550" s="332">
        <f t="shared" si="16"/>
        <v>3.1016169136264087E-6</v>
      </c>
      <c r="H550" s="331">
        <v>633551</v>
      </c>
      <c r="I550" s="331">
        <v>0</v>
      </c>
      <c r="J550" s="331">
        <f t="shared" si="17"/>
        <v>633551</v>
      </c>
      <c r="K550" s="199">
        <v>1.45</v>
      </c>
      <c r="L550" s="199">
        <v>1.58</v>
      </c>
    </row>
    <row r="551" spans="1:12" ht="15" customHeight="1" x14ac:dyDescent="0.25">
      <c r="A551" s="49">
        <v>1989</v>
      </c>
      <c r="B551" s="330" t="s">
        <v>17</v>
      </c>
      <c r="C551" s="331">
        <v>41370678243</v>
      </c>
      <c r="D551" s="331">
        <v>14335394736</v>
      </c>
      <c r="E551" s="331">
        <v>201456144</v>
      </c>
      <c r="F551" s="331">
        <v>123356</v>
      </c>
      <c r="G551" s="332">
        <f t="shared" si="16"/>
        <v>2.9817253484567195E-6</v>
      </c>
      <c r="H551" s="331">
        <v>770418</v>
      </c>
      <c r="I551" s="331">
        <v>0</v>
      </c>
      <c r="J551" s="331">
        <f t="shared" si="17"/>
        <v>770418</v>
      </c>
      <c r="K551" s="199">
        <v>1.41</v>
      </c>
      <c r="L551" s="199">
        <v>1.58</v>
      </c>
    </row>
    <row r="552" spans="1:12" ht="15" customHeight="1" x14ac:dyDescent="0.25">
      <c r="A552" s="49">
        <v>1990</v>
      </c>
      <c r="B552" s="330" t="s">
        <v>17</v>
      </c>
      <c r="C552" s="331">
        <v>43311933643</v>
      </c>
      <c r="D552" s="331">
        <v>14636941999</v>
      </c>
      <c r="E552" s="331">
        <v>196378071</v>
      </c>
      <c r="F552" s="331">
        <v>134794</v>
      </c>
      <c r="G552" s="332">
        <f t="shared" si="16"/>
        <v>3.112167679029153E-6</v>
      </c>
      <c r="H552" s="331">
        <v>879027</v>
      </c>
      <c r="I552" s="331">
        <v>0</v>
      </c>
      <c r="J552" s="331">
        <f t="shared" si="17"/>
        <v>879027</v>
      </c>
      <c r="K552" s="199">
        <v>1.34</v>
      </c>
      <c r="L552" s="199">
        <v>1.58</v>
      </c>
    </row>
    <row r="553" spans="1:12" ht="15" customHeight="1" x14ac:dyDescent="0.25">
      <c r="A553" s="49">
        <v>1991</v>
      </c>
      <c r="B553" s="330" t="s">
        <v>17</v>
      </c>
      <c r="C553" s="331">
        <v>44448114209</v>
      </c>
      <c r="D553" s="331">
        <v>14574049928</v>
      </c>
      <c r="E553" s="331">
        <v>177144234</v>
      </c>
      <c r="F553" s="331">
        <v>207333</v>
      </c>
      <c r="G553" s="332">
        <f t="shared" si="16"/>
        <v>4.664607344759264E-6</v>
      </c>
      <c r="H553" s="331">
        <v>899139</v>
      </c>
      <c r="I553" s="331">
        <v>0</v>
      </c>
      <c r="J553" s="331">
        <f t="shared" si="17"/>
        <v>899139</v>
      </c>
      <c r="K553" s="199">
        <v>1.22</v>
      </c>
      <c r="L553" s="199">
        <v>1.58</v>
      </c>
    </row>
    <row r="554" spans="1:12" ht="15" customHeight="1" x14ac:dyDescent="0.25">
      <c r="A554" s="49">
        <v>1992</v>
      </c>
      <c r="B554" s="330" t="s">
        <v>17</v>
      </c>
      <c r="C554" s="331">
        <v>47354166011</v>
      </c>
      <c r="D554" s="331">
        <v>14880535028</v>
      </c>
      <c r="E554" s="331">
        <v>199966951</v>
      </c>
      <c r="F554" s="331">
        <v>192711</v>
      </c>
      <c r="G554" s="332">
        <f t="shared" si="16"/>
        <v>4.069568028190693E-6</v>
      </c>
      <c r="H554" s="331">
        <v>941632</v>
      </c>
      <c r="I554" s="331">
        <v>0</v>
      </c>
      <c r="J554" s="331">
        <f t="shared" si="17"/>
        <v>941632</v>
      </c>
      <c r="K554" s="199">
        <v>1.34</v>
      </c>
      <c r="L554" s="199">
        <v>1.58</v>
      </c>
    </row>
    <row r="555" spans="1:12" ht="15" customHeight="1" x14ac:dyDescent="0.25">
      <c r="A555" s="49">
        <v>1993</v>
      </c>
      <c r="B555" s="330" t="s">
        <v>17</v>
      </c>
      <c r="C555" s="331">
        <v>49886443758</v>
      </c>
      <c r="D555" s="331">
        <v>15519012728</v>
      </c>
      <c r="E555" s="331">
        <v>212762122</v>
      </c>
      <c r="F555" s="331">
        <v>193937</v>
      </c>
      <c r="G555" s="332">
        <f t="shared" si="16"/>
        <v>3.8875691548748541E-6</v>
      </c>
      <c r="H555" s="331">
        <v>1024658</v>
      </c>
      <c r="I555" s="331">
        <v>0</v>
      </c>
      <c r="J555" s="331">
        <f t="shared" si="17"/>
        <v>1024658</v>
      </c>
      <c r="K555" s="199">
        <v>1.37</v>
      </c>
      <c r="L555" s="199">
        <v>1.58</v>
      </c>
    </row>
    <row r="556" spans="1:12" ht="15" customHeight="1" x14ac:dyDescent="0.25">
      <c r="A556" s="49">
        <v>1994</v>
      </c>
      <c r="B556" s="330" t="s">
        <v>17</v>
      </c>
      <c r="C556" s="331">
        <v>53747133450</v>
      </c>
      <c r="D556" s="331">
        <v>16559672659</v>
      </c>
      <c r="E556" s="331">
        <v>226797055</v>
      </c>
      <c r="F556" s="331">
        <v>217095</v>
      </c>
      <c r="G556" s="332">
        <f t="shared" si="16"/>
        <v>4.0391921590006211E-6</v>
      </c>
      <c r="H556" s="331">
        <v>1132343</v>
      </c>
      <c r="I556" s="331">
        <v>0</v>
      </c>
      <c r="J556" s="331">
        <f t="shared" si="17"/>
        <v>1132343</v>
      </c>
      <c r="K556" s="199">
        <v>1.37</v>
      </c>
      <c r="L556" s="199">
        <v>1.58</v>
      </c>
    </row>
    <row r="557" spans="1:12" ht="15" customHeight="1" x14ac:dyDescent="0.25">
      <c r="A557" s="49">
        <v>1995</v>
      </c>
      <c r="B557" s="330" t="s">
        <v>17</v>
      </c>
      <c r="C557" s="331">
        <v>56954710772</v>
      </c>
      <c r="D557" s="331">
        <v>17252237733</v>
      </c>
      <c r="E557" s="331">
        <v>234441240</v>
      </c>
      <c r="F557" s="331">
        <v>223869</v>
      </c>
      <c r="G557" s="332">
        <f t="shared" si="16"/>
        <v>3.9306494048611371E-6</v>
      </c>
      <c r="H557" s="331">
        <v>1228070</v>
      </c>
      <c r="I557" s="331">
        <v>0</v>
      </c>
      <c r="J557" s="331">
        <f t="shared" si="17"/>
        <v>1228070</v>
      </c>
      <c r="K557" s="199">
        <v>1.36</v>
      </c>
      <c r="L557" s="199">
        <v>1.36</v>
      </c>
    </row>
    <row r="558" spans="1:12" ht="15" customHeight="1" x14ac:dyDescent="0.25">
      <c r="A558" s="49">
        <v>1996</v>
      </c>
      <c r="B558" s="330" t="s">
        <v>17</v>
      </c>
      <c r="C558" s="331">
        <v>59770272823</v>
      </c>
      <c r="D558" s="331">
        <v>17489273413</v>
      </c>
      <c r="E558" s="331">
        <v>225051056</v>
      </c>
      <c r="F558" s="331">
        <v>233209</v>
      </c>
      <c r="G558" s="332">
        <f t="shared" si="16"/>
        <v>3.9017556552002151E-6</v>
      </c>
      <c r="H558" s="331">
        <v>1273086</v>
      </c>
      <c r="I558" s="331">
        <v>0</v>
      </c>
      <c r="J558" s="331">
        <f t="shared" si="17"/>
        <v>1273086</v>
      </c>
      <c r="K558" s="199">
        <v>1.29</v>
      </c>
      <c r="L558" s="199">
        <v>1.36</v>
      </c>
    </row>
    <row r="559" spans="1:12" ht="15" customHeight="1" x14ac:dyDescent="0.25">
      <c r="A559" s="49">
        <v>1997</v>
      </c>
      <c r="B559" s="330" t="s">
        <v>17</v>
      </c>
      <c r="C559" s="331">
        <v>63617947531</v>
      </c>
      <c r="D559" s="331">
        <v>18062387907</v>
      </c>
      <c r="E559" s="331">
        <v>251135042</v>
      </c>
      <c r="F559" s="331">
        <v>208781</v>
      </c>
      <c r="G559" s="332">
        <f t="shared" si="16"/>
        <v>3.281794023585316E-6</v>
      </c>
      <c r="H559" s="331">
        <v>1362463</v>
      </c>
      <c r="I559" s="331">
        <v>0</v>
      </c>
      <c r="J559" s="331">
        <f t="shared" si="17"/>
        <v>1362463</v>
      </c>
      <c r="K559" s="199">
        <v>1.39</v>
      </c>
      <c r="L559" s="199">
        <v>1.36</v>
      </c>
    </row>
    <row r="560" spans="1:12" ht="15" customHeight="1" x14ac:dyDescent="0.25">
      <c r="A560" s="49">
        <v>1998</v>
      </c>
      <c r="B560" s="330" t="s">
        <v>17</v>
      </c>
      <c r="C560" s="331">
        <v>68663962560</v>
      </c>
      <c r="D560" s="331">
        <v>18808037117</v>
      </c>
      <c r="E560" s="331">
        <v>220166360</v>
      </c>
      <c r="F560" s="331">
        <v>223110</v>
      </c>
      <c r="G560" s="332">
        <f t="shared" si="16"/>
        <v>3.2493027154534207E-6</v>
      </c>
      <c r="H560" s="331">
        <v>1417827</v>
      </c>
      <c r="I560" s="331">
        <v>0</v>
      </c>
      <c r="J560" s="331">
        <f t="shared" si="17"/>
        <v>1417827</v>
      </c>
      <c r="K560" s="199">
        <v>1.17</v>
      </c>
      <c r="L560" s="199">
        <v>1.36</v>
      </c>
    </row>
    <row r="561" spans="1:12" x14ac:dyDescent="0.25">
      <c r="A561" s="49">
        <v>1999</v>
      </c>
      <c r="B561" s="330" t="s">
        <v>17</v>
      </c>
      <c r="C561" s="331">
        <v>72168954301</v>
      </c>
      <c r="D561" s="331">
        <v>19251993846</v>
      </c>
      <c r="E561" s="331">
        <v>276236309</v>
      </c>
      <c r="F561" s="331">
        <v>219826</v>
      </c>
      <c r="G561" s="332">
        <f t="shared" si="16"/>
        <v>3.0459912039622558E-6</v>
      </c>
      <c r="H561" s="331">
        <v>1519102</v>
      </c>
      <c r="I561" s="331">
        <v>0</v>
      </c>
      <c r="J561" s="331">
        <f t="shared" si="17"/>
        <v>1519102</v>
      </c>
      <c r="K561" s="199">
        <v>1.43</v>
      </c>
      <c r="L561" s="199">
        <v>1.36</v>
      </c>
    </row>
    <row r="562" spans="1:12" ht="15" customHeight="1" x14ac:dyDescent="0.25">
      <c r="A562" s="49">
        <v>2000</v>
      </c>
      <c r="B562" s="330" t="s">
        <v>17</v>
      </c>
      <c r="C562" s="331">
        <v>74999533235</v>
      </c>
      <c r="D562" s="331">
        <v>19534768032</v>
      </c>
      <c r="E562" s="331">
        <v>277689026</v>
      </c>
      <c r="F562" s="331">
        <v>258512</v>
      </c>
      <c r="G562" s="332">
        <f t="shared" si="16"/>
        <v>3.4468481182408255E-6</v>
      </c>
      <c r="H562" s="331">
        <v>1605598</v>
      </c>
      <c r="I562" s="331">
        <v>0</v>
      </c>
      <c r="J562" s="331">
        <f t="shared" si="17"/>
        <v>1605598</v>
      </c>
      <c r="K562" s="199">
        <v>1.42</v>
      </c>
      <c r="L562" s="199">
        <v>1.36</v>
      </c>
    </row>
    <row r="563" spans="1:12" ht="15" customHeight="1" x14ac:dyDescent="0.25">
      <c r="A563" s="49">
        <v>2001</v>
      </c>
      <c r="B563" s="330" t="s">
        <v>17</v>
      </c>
      <c r="C563" s="331">
        <v>74570622625</v>
      </c>
      <c r="D563" s="331">
        <v>18875992500</v>
      </c>
      <c r="E563" s="331">
        <v>203446602</v>
      </c>
      <c r="F563" s="331">
        <v>495278</v>
      </c>
      <c r="G563" s="332">
        <f t="shared" si="16"/>
        <v>6.6417307857364829E-6</v>
      </c>
      <c r="H563" s="331">
        <v>1330294</v>
      </c>
      <c r="I563" s="331">
        <v>0</v>
      </c>
      <c r="J563" s="331">
        <f t="shared" si="17"/>
        <v>1330294</v>
      </c>
      <c r="K563" s="199">
        <v>1.08</v>
      </c>
      <c r="L563" s="199">
        <v>1.21</v>
      </c>
    </row>
    <row r="564" spans="1:12" ht="15" customHeight="1" x14ac:dyDescent="0.25">
      <c r="A564" s="49">
        <v>2002</v>
      </c>
      <c r="B564" s="330" t="s">
        <v>17</v>
      </c>
      <c r="C564" s="331">
        <v>74920380360</v>
      </c>
      <c r="D564" s="331">
        <v>18553861736</v>
      </c>
      <c r="E564" s="331">
        <v>230190432</v>
      </c>
      <c r="F564" s="331">
        <v>578523</v>
      </c>
      <c r="G564" s="332">
        <f t="shared" si="16"/>
        <v>7.7218374655886483E-6</v>
      </c>
      <c r="H564" s="331">
        <v>1124296</v>
      </c>
      <c r="I564" s="331">
        <v>0</v>
      </c>
      <c r="J564" s="331">
        <f t="shared" si="17"/>
        <v>1124296</v>
      </c>
      <c r="K564" s="199">
        <v>1.24</v>
      </c>
      <c r="L564" s="199">
        <v>1.21</v>
      </c>
    </row>
    <row r="565" spans="1:12" ht="15" customHeight="1" x14ac:dyDescent="0.25">
      <c r="A565" s="49">
        <v>2003</v>
      </c>
      <c r="B565" s="330" t="s">
        <v>17</v>
      </c>
      <c r="C565" s="331">
        <v>76130759104</v>
      </c>
      <c r="D565" s="331">
        <v>18347817701</v>
      </c>
      <c r="E565" s="331">
        <v>342466342</v>
      </c>
      <c r="F565" s="331">
        <v>616928</v>
      </c>
      <c r="G565" s="332">
        <f t="shared" si="16"/>
        <v>8.1035314406524273E-6</v>
      </c>
      <c r="H565" s="331">
        <v>758340</v>
      </c>
      <c r="I565" s="331">
        <v>0</v>
      </c>
      <c r="J565" s="331">
        <f t="shared" si="17"/>
        <v>758340</v>
      </c>
      <c r="K565" s="199">
        <v>1.87</v>
      </c>
      <c r="L565" s="199">
        <v>1.21</v>
      </c>
    </row>
    <row r="566" spans="1:12" ht="15" customHeight="1" x14ac:dyDescent="0.25">
      <c r="A566" s="49">
        <v>2004</v>
      </c>
      <c r="B566" s="330" t="s">
        <v>17</v>
      </c>
      <c r="C566" s="331">
        <v>80005467238</v>
      </c>
      <c r="D566" s="331">
        <v>18814464902</v>
      </c>
      <c r="E566" s="331">
        <v>445185145</v>
      </c>
      <c r="F566" s="331">
        <v>595933</v>
      </c>
      <c r="G566" s="332">
        <f t="shared" si="16"/>
        <v>7.4486534554847415E-6</v>
      </c>
      <c r="H566" s="331">
        <v>571636</v>
      </c>
      <c r="I566" s="331">
        <v>0</v>
      </c>
      <c r="J566" s="331">
        <f t="shared" si="17"/>
        <v>571636</v>
      </c>
      <c r="K566" s="199">
        <v>2.37</v>
      </c>
      <c r="L566" s="199">
        <v>1.21</v>
      </c>
    </row>
    <row r="567" spans="1:12" ht="15" customHeight="1" x14ac:dyDescent="0.25">
      <c r="A567" s="49">
        <v>2005</v>
      </c>
      <c r="B567" s="330" t="s">
        <v>17</v>
      </c>
      <c r="C567" s="331">
        <v>82359769051</v>
      </c>
      <c r="D567" s="331">
        <v>19097716657</v>
      </c>
      <c r="E567" s="331">
        <v>595830405</v>
      </c>
      <c r="F567" s="331">
        <v>630736</v>
      </c>
      <c r="G567" s="332">
        <f t="shared" si="16"/>
        <v>7.6583021937497976E-6</v>
      </c>
      <c r="H567" s="331">
        <v>534337</v>
      </c>
      <c r="I567" s="331">
        <v>0</v>
      </c>
      <c r="J567" s="331">
        <f t="shared" si="17"/>
        <v>534337</v>
      </c>
      <c r="K567" s="199">
        <v>3.12</v>
      </c>
      <c r="L567" s="199">
        <v>1.21</v>
      </c>
    </row>
    <row r="568" spans="1:12" ht="15" customHeight="1" x14ac:dyDescent="0.25">
      <c r="A568" s="49">
        <v>2006</v>
      </c>
      <c r="B568" s="330" t="s">
        <v>17</v>
      </c>
      <c r="C568" s="331">
        <v>85609854920</v>
      </c>
      <c r="D568" s="331">
        <v>19352587535</v>
      </c>
      <c r="E568" s="331">
        <v>567915884</v>
      </c>
      <c r="F568" s="331">
        <v>693378</v>
      </c>
      <c r="G568" s="332">
        <f t="shared" si="16"/>
        <v>8.0992778301977296E-6</v>
      </c>
      <c r="H568" s="331">
        <v>477323</v>
      </c>
      <c r="I568" s="331">
        <v>0</v>
      </c>
      <c r="J568" s="331">
        <f t="shared" si="17"/>
        <v>477323</v>
      </c>
      <c r="K568" s="199">
        <v>2.93</v>
      </c>
      <c r="L568" s="199">
        <v>1.21</v>
      </c>
    </row>
    <row r="569" spans="1:12" ht="15" customHeight="1" x14ac:dyDescent="0.25">
      <c r="A569" s="49">
        <v>2007</v>
      </c>
      <c r="B569" s="330" t="s">
        <v>17</v>
      </c>
      <c r="C569" s="331">
        <v>88117799323</v>
      </c>
      <c r="D569" s="331">
        <v>19521548961</v>
      </c>
      <c r="E569" s="331">
        <v>536875104</v>
      </c>
      <c r="F569" s="331">
        <v>686867</v>
      </c>
      <c r="G569" s="332">
        <f t="shared" si="16"/>
        <v>7.7948723785333784E-6</v>
      </c>
      <c r="H569" s="331">
        <v>306787</v>
      </c>
      <c r="I569" s="331">
        <v>0</v>
      </c>
      <c r="J569" s="331">
        <f t="shared" si="17"/>
        <v>306787</v>
      </c>
      <c r="K569" s="199">
        <v>2.75</v>
      </c>
      <c r="L569" s="199">
        <v>1.21</v>
      </c>
    </row>
    <row r="570" spans="1:12" ht="15" customHeight="1" x14ac:dyDescent="0.25">
      <c r="A570" s="49">
        <v>2008</v>
      </c>
      <c r="B570" s="330" t="s">
        <v>17</v>
      </c>
      <c r="C570" s="331">
        <v>88329101681</v>
      </c>
      <c r="D570" s="331">
        <v>19022631330</v>
      </c>
      <c r="E570" s="331">
        <v>508277294</v>
      </c>
      <c r="F570" s="331">
        <v>952344</v>
      </c>
      <c r="G570" s="332">
        <f t="shared" si="16"/>
        <v>1.0781769336219272E-5</v>
      </c>
      <c r="H570" s="331">
        <v>12915</v>
      </c>
      <c r="I570" s="331">
        <v>145131</v>
      </c>
      <c r="J570" s="331">
        <f t="shared" si="17"/>
        <v>-132216</v>
      </c>
      <c r="K570" s="199">
        <v>2.7</v>
      </c>
      <c r="L570" s="199">
        <v>1.26</v>
      </c>
    </row>
    <row r="571" spans="1:12" ht="15" customHeight="1" x14ac:dyDescent="0.25">
      <c r="A571" s="49">
        <v>2009</v>
      </c>
      <c r="B571" s="330" t="s">
        <v>17</v>
      </c>
      <c r="C571" s="331">
        <v>80893930564</v>
      </c>
      <c r="D571" s="331">
        <v>17284214020</v>
      </c>
      <c r="E571" s="331">
        <v>451947071</v>
      </c>
      <c r="F571" s="331">
        <v>1763106</v>
      </c>
      <c r="G571" s="332">
        <f t="shared" si="16"/>
        <v>2.1795281644833687E-5</v>
      </c>
      <c r="H571" s="331">
        <v>18954</v>
      </c>
      <c r="I571" s="331">
        <v>1488584</v>
      </c>
      <c r="J571" s="331">
        <f t="shared" si="17"/>
        <v>-1469630</v>
      </c>
      <c r="K571" s="199">
        <v>2.6</v>
      </c>
      <c r="L571" s="199">
        <v>1.36</v>
      </c>
    </row>
    <row r="572" spans="1:12" ht="15" customHeight="1" x14ac:dyDescent="0.25">
      <c r="A572" s="49">
        <v>2010</v>
      </c>
      <c r="B572" s="330" t="s">
        <v>17</v>
      </c>
      <c r="C572" s="331">
        <v>83455074661</v>
      </c>
      <c r="D572" s="331">
        <v>17970627322</v>
      </c>
      <c r="E572" s="331">
        <v>531330112</v>
      </c>
      <c r="F572" s="331">
        <v>977529</v>
      </c>
      <c r="G572" s="332">
        <f t="shared" si="16"/>
        <v>1.1713236180912749E-5</v>
      </c>
      <c r="H572" s="331">
        <v>18148</v>
      </c>
      <c r="I572" s="331">
        <v>1955480</v>
      </c>
      <c r="J572" s="331">
        <f t="shared" si="17"/>
        <v>-1937332</v>
      </c>
      <c r="K572" s="199">
        <v>3</v>
      </c>
      <c r="L572" s="199">
        <v>1.48</v>
      </c>
    </row>
    <row r="573" spans="1:12" ht="15" customHeight="1" x14ac:dyDescent="0.25">
      <c r="A573" s="49">
        <v>2011</v>
      </c>
      <c r="B573" s="330" t="s">
        <v>17</v>
      </c>
      <c r="C573" s="331">
        <v>87471226941</v>
      </c>
      <c r="D573" s="331">
        <v>23109262022</v>
      </c>
      <c r="E573" s="331">
        <v>730160739</v>
      </c>
      <c r="F573" s="331">
        <v>764142</v>
      </c>
      <c r="G573" s="332">
        <f t="shared" si="16"/>
        <v>8.7359241058253313E-6</v>
      </c>
      <c r="H573" s="331">
        <v>16916</v>
      </c>
      <c r="I573" s="331">
        <v>1966705</v>
      </c>
      <c r="J573" s="331">
        <f t="shared" si="17"/>
        <v>-1949789</v>
      </c>
      <c r="K573" s="199">
        <v>3.2</v>
      </c>
      <c r="L573" s="199">
        <v>1.48</v>
      </c>
    </row>
    <row r="574" spans="1:12" ht="15" customHeight="1" x14ac:dyDescent="0.25">
      <c r="A574" s="49">
        <v>2012</v>
      </c>
      <c r="B574" s="330" t="s">
        <v>17</v>
      </c>
      <c r="C574" s="331">
        <v>91732998394</v>
      </c>
      <c r="D574" s="331">
        <v>23928847705</v>
      </c>
      <c r="E574" s="331">
        <v>751568131</v>
      </c>
      <c r="F574" s="331">
        <v>648565</v>
      </c>
      <c r="G574" s="332">
        <f t="shared" si="16"/>
        <v>7.0701384600377443E-6</v>
      </c>
      <c r="H574" s="331">
        <v>15939</v>
      </c>
      <c r="I574" s="331">
        <v>1763073</v>
      </c>
      <c r="J574" s="331">
        <f t="shared" si="17"/>
        <v>-1747134</v>
      </c>
      <c r="K574" s="199">
        <v>3.14</v>
      </c>
      <c r="L574" s="199">
        <v>1.48</v>
      </c>
    </row>
    <row r="575" spans="1:12" ht="15" customHeight="1" x14ac:dyDescent="0.25">
      <c r="A575" s="49">
        <v>2013</v>
      </c>
      <c r="B575" s="330" t="s">
        <v>17</v>
      </c>
      <c r="C575" s="331">
        <v>94021326721</v>
      </c>
      <c r="D575" s="331">
        <v>24394926455</v>
      </c>
      <c r="E575" s="331">
        <v>736811188</v>
      </c>
      <c r="F575" s="331">
        <v>526010</v>
      </c>
      <c r="G575" s="332">
        <f t="shared" si="16"/>
        <v>5.5945817650594139E-6</v>
      </c>
      <c r="H575" s="331">
        <v>6148</v>
      </c>
      <c r="I575" s="331">
        <v>1386950</v>
      </c>
      <c r="J575" s="331">
        <f t="shared" si="17"/>
        <v>-1380802</v>
      </c>
      <c r="K575" s="199">
        <v>3.02</v>
      </c>
      <c r="L575" s="199">
        <v>1.48</v>
      </c>
    </row>
    <row r="576" spans="1:12" ht="15" customHeight="1" x14ac:dyDescent="0.25">
      <c r="A576" s="49">
        <v>2014</v>
      </c>
      <c r="B576" s="330" t="s">
        <v>17</v>
      </c>
      <c r="C576" s="331">
        <v>97784411874</v>
      </c>
      <c r="D576" s="331">
        <v>25112763067</v>
      </c>
      <c r="E576" s="331">
        <v>710669938</v>
      </c>
      <c r="F576" s="331">
        <v>407527</v>
      </c>
      <c r="G576" s="332">
        <f t="shared" si="16"/>
        <v>4.1676070059624484E-6</v>
      </c>
      <c r="H576" s="331">
        <v>4436</v>
      </c>
      <c r="I576" s="331">
        <v>858403</v>
      </c>
      <c r="J576" s="331">
        <f t="shared" si="17"/>
        <v>-853967</v>
      </c>
      <c r="K576" s="333">
        <v>2.8299153546105487</v>
      </c>
      <c r="L576" s="199">
        <v>1.48</v>
      </c>
    </row>
    <row r="577" spans="1:12" ht="15" customHeight="1" x14ac:dyDescent="0.25">
      <c r="A577" s="49">
        <v>2015</v>
      </c>
      <c r="B577" s="330" t="s">
        <v>17</v>
      </c>
      <c r="C577" s="334">
        <v>102908189000</v>
      </c>
      <c r="D577" s="334">
        <v>25945131000</v>
      </c>
      <c r="E577" s="334">
        <v>656030000</v>
      </c>
      <c r="F577" s="331">
        <v>323850</v>
      </c>
      <c r="G577" s="332">
        <f t="shared" si="16"/>
        <v>3.1469798773739958E-6</v>
      </c>
      <c r="H577" s="331">
        <v>26645</v>
      </c>
      <c r="I577" s="199">
        <v>0</v>
      </c>
      <c r="J577" s="331">
        <f t="shared" si="17"/>
        <v>26645</v>
      </c>
      <c r="K577" s="199">
        <v>2.5</v>
      </c>
      <c r="L577" s="199">
        <v>1.48</v>
      </c>
    </row>
    <row r="578" spans="1:12" ht="15" customHeight="1" x14ac:dyDescent="0.25">
      <c r="A578" s="49">
        <v>1980</v>
      </c>
      <c r="B578" s="330" t="s">
        <v>18</v>
      </c>
      <c r="C578" s="331">
        <v>9540426405</v>
      </c>
      <c r="D578" s="331">
        <v>4313211600</v>
      </c>
      <c r="E578" s="331">
        <v>80745950</v>
      </c>
      <c r="F578" s="331">
        <v>113832</v>
      </c>
      <c r="G578" s="332">
        <f t="shared" ref="G578:G641" si="18">F578/C578</f>
        <v>1.1931542173035608E-5</v>
      </c>
      <c r="H578" s="331">
        <v>227951</v>
      </c>
      <c r="I578" s="331">
        <v>0</v>
      </c>
      <c r="J578" s="331">
        <f t="shared" ref="J578:J641" si="19">H578-I578</f>
        <v>227951</v>
      </c>
      <c r="K578" s="199">
        <v>1.87</v>
      </c>
      <c r="L578" s="199">
        <v>1.27</v>
      </c>
    </row>
    <row r="579" spans="1:12" ht="15" customHeight="1" x14ac:dyDescent="0.25">
      <c r="A579" s="49">
        <v>1981</v>
      </c>
      <c r="B579" s="330" t="s">
        <v>18</v>
      </c>
      <c r="C579" s="331">
        <v>10505612063</v>
      </c>
      <c r="D579" s="331">
        <v>4412281295</v>
      </c>
      <c r="E579" s="331">
        <v>85213537</v>
      </c>
      <c r="F579" s="331">
        <v>103779</v>
      </c>
      <c r="G579" s="332">
        <f t="shared" si="18"/>
        <v>9.8784344384371536E-6</v>
      </c>
      <c r="H579" s="331">
        <v>232332</v>
      </c>
      <c r="I579" s="331">
        <v>0</v>
      </c>
      <c r="J579" s="331">
        <f t="shared" si="19"/>
        <v>232332</v>
      </c>
      <c r="K579" s="199">
        <v>1.93</v>
      </c>
      <c r="L579" s="199">
        <v>1.26</v>
      </c>
    </row>
    <row r="580" spans="1:12" ht="15" customHeight="1" x14ac:dyDescent="0.25">
      <c r="A580" s="49">
        <v>1982</v>
      </c>
      <c r="B580" s="330" t="s">
        <v>18</v>
      </c>
      <c r="C580" s="331">
        <v>10805580552</v>
      </c>
      <c r="D580" s="331">
        <v>4280828485</v>
      </c>
      <c r="E580" s="331">
        <v>101211114</v>
      </c>
      <c r="F580" s="331">
        <v>207251</v>
      </c>
      <c r="G580" s="332">
        <f t="shared" si="18"/>
        <v>1.9179996762102707E-5</v>
      </c>
      <c r="H580" s="331">
        <v>142188</v>
      </c>
      <c r="I580" s="331">
        <v>0</v>
      </c>
      <c r="J580" s="331">
        <f t="shared" si="19"/>
        <v>142188</v>
      </c>
      <c r="K580" s="199">
        <v>2.36</v>
      </c>
      <c r="L580" s="199">
        <v>1.51</v>
      </c>
    </row>
    <row r="581" spans="1:12" ht="15" customHeight="1" x14ac:dyDescent="0.25">
      <c r="A581" s="49">
        <v>1983</v>
      </c>
      <c r="B581" s="330" t="s">
        <v>18</v>
      </c>
      <c r="C581" s="331">
        <v>11241385736</v>
      </c>
      <c r="D581" s="331">
        <v>4782985990</v>
      </c>
      <c r="E581" s="331">
        <v>159680732</v>
      </c>
      <c r="F581" s="331">
        <v>154528</v>
      </c>
      <c r="G581" s="332">
        <f t="shared" si="18"/>
        <v>1.3746347970707158E-5</v>
      </c>
      <c r="H581" s="331">
        <v>156097</v>
      </c>
      <c r="I581" s="331">
        <v>0</v>
      </c>
      <c r="J581" s="331">
        <f t="shared" si="19"/>
        <v>156097</v>
      </c>
      <c r="K581" s="199">
        <v>3.34</v>
      </c>
      <c r="L581" s="199">
        <v>1.55</v>
      </c>
    </row>
    <row r="582" spans="1:12" ht="15" customHeight="1" x14ac:dyDescent="0.25">
      <c r="A582" s="49">
        <v>1984</v>
      </c>
      <c r="B582" s="330" t="s">
        <v>18</v>
      </c>
      <c r="C582" s="331">
        <v>14052489826</v>
      </c>
      <c r="D582" s="331">
        <v>7118583752</v>
      </c>
      <c r="E582" s="331">
        <v>163150294</v>
      </c>
      <c r="F582" s="331">
        <v>106375</v>
      </c>
      <c r="G582" s="332">
        <f t="shared" si="18"/>
        <v>7.5698329133947743E-6</v>
      </c>
      <c r="H582" s="331">
        <v>240825</v>
      </c>
      <c r="I582" s="331">
        <v>0</v>
      </c>
      <c r="J582" s="331">
        <f t="shared" si="19"/>
        <v>240825</v>
      </c>
      <c r="K582" s="199">
        <v>2.29</v>
      </c>
      <c r="L582" s="199">
        <v>1.55</v>
      </c>
    </row>
    <row r="583" spans="1:12" ht="15" customHeight="1" x14ac:dyDescent="0.25">
      <c r="A583" s="49">
        <v>1985</v>
      </c>
      <c r="B583" s="330" t="s">
        <v>18</v>
      </c>
      <c r="C583" s="331">
        <v>14787668698</v>
      </c>
      <c r="D583" s="331">
        <v>7217177117</v>
      </c>
      <c r="E583" s="331">
        <v>155620121</v>
      </c>
      <c r="F583" s="331">
        <v>132238</v>
      </c>
      <c r="G583" s="332">
        <f t="shared" si="18"/>
        <v>8.9424508149742963E-6</v>
      </c>
      <c r="H583" s="331">
        <v>303041</v>
      </c>
      <c r="I583" s="331">
        <v>0</v>
      </c>
      <c r="J583" s="331">
        <f t="shared" si="19"/>
        <v>303041</v>
      </c>
      <c r="K583" s="199">
        <v>2.16</v>
      </c>
      <c r="L583" s="199">
        <v>1.55</v>
      </c>
    </row>
    <row r="584" spans="1:12" ht="15" customHeight="1" x14ac:dyDescent="0.25">
      <c r="A584" s="49">
        <v>1986</v>
      </c>
      <c r="B584" s="330" t="s">
        <v>18</v>
      </c>
      <c r="C584" s="331">
        <v>15385146480</v>
      </c>
      <c r="D584" s="331">
        <v>7425222871</v>
      </c>
      <c r="E584" s="331">
        <v>148569686</v>
      </c>
      <c r="F584" s="331">
        <v>159104</v>
      </c>
      <c r="G584" s="332">
        <f t="shared" si="18"/>
        <v>1.0341403002358676E-5</v>
      </c>
      <c r="H584" s="331">
        <v>329753</v>
      </c>
      <c r="I584" s="331">
        <v>0</v>
      </c>
      <c r="J584" s="331">
        <f t="shared" si="19"/>
        <v>329753</v>
      </c>
      <c r="K584" s="199">
        <v>2</v>
      </c>
      <c r="L584" s="199">
        <v>1.55</v>
      </c>
    </row>
    <row r="585" spans="1:12" ht="15" customHeight="1" x14ac:dyDescent="0.25">
      <c r="A585" s="49">
        <v>1987</v>
      </c>
      <c r="B585" s="330" t="s">
        <v>18</v>
      </c>
      <c r="C585" s="331">
        <v>16067596765</v>
      </c>
      <c r="D585" s="331">
        <v>7629265568</v>
      </c>
      <c r="E585" s="331">
        <v>151734998</v>
      </c>
      <c r="F585" s="331">
        <v>155107</v>
      </c>
      <c r="G585" s="332">
        <f t="shared" si="18"/>
        <v>9.653403820655316E-6</v>
      </c>
      <c r="H585" s="331">
        <v>362577</v>
      </c>
      <c r="I585" s="331">
        <v>0</v>
      </c>
      <c r="J585" s="331">
        <f t="shared" si="19"/>
        <v>362577</v>
      </c>
      <c r="K585" s="199">
        <v>1.99</v>
      </c>
      <c r="L585" s="199">
        <v>1.55</v>
      </c>
    </row>
    <row r="586" spans="1:12" ht="15" customHeight="1" x14ac:dyDescent="0.25">
      <c r="A586" s="49">
        <v>1988</v>
      </c>
      <c r="B586" s="330" t="s">
        <v>18</v>
      </c>
      <c r="C586" s="331">
        <v>17010005020</v>
      </c>
      <c r="D586" s="331">
        <v>7982187416</v>
      </c>
      <c r="E586" s="331">
        <v>154275009</v>
      </c>
      <c r="F586" s="331">
        <v>143360</v>
      </c>
      <c r="G586" s="332">
        <f t="shared" si="18"/>
        <v>8.4279810518245226E-6</v>
      </c>
      <c r="H586" s="331">
        <v>413095</v>
      </c>
      <c r="I586" s="331">
        <v>0</v>
      </c>
      <c r="J586" s="331">
        <f t="shared" si="19"/>
        <v>413095</v>
      </c>
      <c r="K586" s="199">
        <v>1.93</v>
      </c>
      <c r="L586" s="199">
        <v>1.55</v>
      </c>
    </row>
    <row r="587" spans="1:12" ht="15" customHeight="1" x14ac:dyDescent="0.25">
      <c r="A587" s="49">
        <v>1989</v>
      </c>
      <c r="B587" s="330" t="s">
        <v>18</v>
      </c>
      <c r="C587" s="331">
        <v>17786041032</v>
      </c>
      <c r="D587" s="331">
        <v>8296186552</v>
      </c>
      <c r="E587" s="331">
        <v>159163067</v>
      </c>
      <c r="F587" s="331">
        <v>143513</v>
      </c>
      <c r="G587" s="332">
        <f t="shared" si="18"/>
        <v>8.0688557808787578E-6</v>
      </c>
      <c r="H587" s="331">
        <v>471658</v>
      </c>
      <c r="I587" s="331">
        <v>0</v>
      </c>
      <c r="J587" s="331">
        <f t="shared" si="19"/>
        <v>471658</v>
      </c>
      <c r="K587" s="199">
        <v>1.92</v>
      </c>
      <c r="L587" s="199">
        <v>1.55</v>
      </c>
    </row>
    <row r="588" spans="1:12" ht="15" customHeight="1" x14ac:dyDescent="0.25">
      <c r="A588" s="49">
        <v>1990</v>
      </c>
      <c r="B588" s="330" t="s">
        <v>18</v>
      </c>
      <c r="C588" s="331">
        <v>18912531675</v>
      </c>
      <c r="D588" s="331">
        <v>8680908718</v>
      </c>
      <c r="E588" s="331">
        <v>163945927</v>
      </c>
      <c r="F588" s="331">
        <v>145384</v>
      </c>
      <c r="G588" s="332">
        <f t="shared" si="18"/>
        <v>7.6871781366097834E-6</v>
      </c>
      <c r="H588" s="331">
        <v>538427</v>
      </c>
      <c r="I588" s="331">
        <v>0</v>
      </c>
      <c r="J588" s="331">
        <f t="shared" si="19"/>
        <v>538427</v>
      </c>
      <c r="K588" s="199">
        <v>1.89</v>
      </c>
      <c r="L588" s="199">
        <v>1.55</v>
      </c>
    </row>
    <row r="589" spans="1:12" ht="15" customHeight="1" x14ac:dyDescent="0.25">
      <c r="A589" s="49">
        <v>1991</v>
      </c>
      <c r="B589" s="330" t="s">
        <v>18</v>
      </c>
      <c r="C589" s="331">
        <v>19682837637</v>
      </c>
      <c r="D589" s="331">
        <v>8870649240</v>
      </c>
      <c r="E589" s="331">
        <v>161749629</v>
      </c>
      <c r="F589" s="331">
        <v>177277</v>
      </c>
      <c r="G589" s="332">
        <f t="shared" si="18"/>
        <v>9.0066789793943571E-6</v>
      </c>
      <c r="H589" s="331">
        <v>571904</v>
      </c>
      <c r="I589" s="331">
        <v>0</v>
      </c>
      <c r="J589" s="331">
        <f t="shared" si="19"/>
        <v>571904</v>
      </c>
      <c r="K589" s="199">
        <v>1.82</v>
      </c>
      <c r="L589" s="199">
        <v>1.53</v>
      </c>
    </row>
    <row r="590" spans="1:12" ht="15" customHeight="1" x14ac:dyDescent="0.25">
      <c r="A590" s="49">
        <v>1992</v>
      </c>
      <c r="B590" s="330" t="s">
        <v>18</v>
      </c>
      <c r="C590" s="331">
        <v>20975863283</v>
      </c>
      <c r="D590" s="331">
        <v>9183723922</v>
      </c>
      <c r="E590" s="331">
        <v>170147428</v>
      </c>
      <c r="F590" s="331">
        <v>181487</v>
      </c>
      <c r="G590" s="332">
        <f t="shared" si="18"/>
        <v>8.6521826325540125E-6</v>
      </c>
      <c r="H590" s="331">
        <v>605827</v>
      </c>
      <c r="I590" s="331">
        <v>0</v>
      </c>
      <c r="J590" s="331">
        <f t="shared" si="19"/>
        <v>605827</v>
      </c>
      <c r="K590" s="199">
        <v>1.85</v>
      </c>
      <c r="L590" s="199">
        <v>1.53</v>
      </c>
    </row>
    <row r="591" spans="1:12" ht="15" customHeight="1" x14ac:dyDescent="0.25">
      <c r="A591" s="49">
        <v>1993</v>
      </c>
      <c r="B591" s="330" t="s">
        <v>18</v>
      </c>
      <c r="C591" s="331">
        <v>21734805651</v>
      </c>
      <c r="D591" s="331">
        <v>9526622444</v>
      </c>
      <c r="E591" s="331">
        <v>176210757</v>
      </c>
      <c r="F591" s="331">
        <v>168641</v>
      </c>
      <c r="G591" s="332">
        <f t="shared" si="18"/>
        <v>7.7590295817639841E-6</v>
      </c>
      <c r="H591" s="331">
        <v>658053</v>
      </c>
      <c r="I591" s="331">
        <v>0</v>
      </c>
      <c r="J591" s="331">
        <f t="shared" si="19"/>
        <v>658053</v>
      </c>
      <c r="K591" s="199">
        <v>1.85</v>
      </c>
      <c r="L591" s="199">
        <v>1.53</v>
      </c>
    </row>
    <row r="592" spans="1:12" ht="15" customHeight="1" x14ac:dyDescent="0.25">
      <c r="A592" s="49">
        <v>1994</v>
      </c>
      <c r="B592" s="330" t="s">
        <v>18</v>
      </c>
      <c r="C592" s="331">
        <v>22960106751</v>
      </c>
      <c r="D592" s="331">
        <v>10003471098</v>
      </c>
      <c r="E592" s="331">
        <v>173436913</v>
      </c>
      <c r="F592" s="331">
        <v>143579</v>
      </c>
      <c r="G592" s="332">
        <f t="shared" si="18"/>
        <v>6.2534116917268511E-6</v>
      </c>
      <c r="H592" s="331">
        <v>735717</v>
      </c>
      <c r="I592" s="331">
        <v>0</v>
      </c>
      <c r="J592" s="331">
        <f t="shared" si="19"/>
        <v>735717</v>
      </c>
      <c r="K592" s="199">
        <v>1.73</v>
      </c>
      <c r="L592" s="199">
        <v>1.53</v>
      </c>
    </row>
    <row r="593" spans="1:12" ht="15" customHeight="1" x14ac:dyDescent="0.25">
      <c r="A593" s="49">
        <v>1995</v>
      </c>
      <c r="B593" s="330" t="s">
        <v>18</v>
      </c>
      <c r="C593" s="331">
        <v>24463035186</v>
      </c>
      <c r="D593" s="331">
        <v>10424817145</v>
      </c>
      <c r="E593" s="331">
        <v>38637247</v>
      </c>
      <c r="F593" s="331">
        <v>137277</v>
      </c>
      <c r="G593" s="332">
        <f t="shared" si="18"/>
        <v>5.6116094734868607E-6</v>
      </c>
      <c r="H593" s="331">
        <v>704008</v>
      </c>
      <c r="I593" s="331">
        <v>0</v>
      </c>
      <c r="J593" s="331">
        <f t="shared" si="19"/>
        <v>704008</v>
      </c>
      <c r="K593" s="199">
        <v>0.37</v>
      </c>
      <c r="L593" s="199">
        <v>1.53</v>
      </c>
    </row>
    <row r="594" spans="1:12" ht="15" customHeight="1" x14ac:dyDescent="0.25">
      <c r="A594" s="49">
        <v>1996</v>
      </c>
      <c r="B594" s="330" t="s">
        <v>18</v>
      </c>
      <c r="C594" s="331">
        <v>26160895869</v>
      </c>
      <c r="D594" s="331">
        <v>10888508722</v>
      </c>
      <c r="E594" s="331">
        <v>32349031</v>
      </c>
      <c r="F594" s="331">
        <v>113911</v>
      </c>
      <c r="G594" s="332">
        <f t="shared" si="18"/>
        <v>4.3542469099837538E-6</v>
      </c>
      <c r="H594" s="331">
        <v>651074</v>
      </c>
      <c r="I594" s="331">
        <v>0</v>
      </c>
      <c r="J594" s="331">
        <f t="shared" si="19"/>
        <v>651074</v>
      </c>
      <c r="K594" s="199">
        <v>0.3</v>
      </c>
      <c r="L594" s="199">
        <v>1.53</v>
      </c>
    </row>
    <row r="595" spans="1:12" ht="15" customHeight="1" x14ac:dyDescent="0.25">
      <c r="A595" s="49">
        <v>1997</v>
      </c>
      <c r="B595" s="330" t="s">
        <v>18</v>
      </c>
      <c r="C595" s="331">
        <v>28446628892</v>
      </c>
      <c r="D595" s="331">
        <v>11542416926</v>
      </c>
      <c r="E595" s="331">
        <v>35644530</v>
      </c>
      <c r="F595" s="331">
        <v>101705</v>
      </c>
      <c r="G595" s="332">
        <f t="shared" si="18"/>
        <v>3.5752918346188407E-6</v>
      </c>
      <c r="H595" s="331">
        <v>606735</v>
      </c>
      <c r="I595" s="331">
        <v>0</v>
      </c>
      <c r="J595" s="331">
        <f t="shared" si="19"/>
        <v>606735</v>
      </c>
      <c r="K595" s="199">
        <v>0.31</v>
      </c>
      <c r="L595" s="199">
        <v>1.53</v>
      </c>
    </row>
    <row r="596" spans="1:12" x14ac:dyDescent="0.25">
      <c r="A596" s="49">
        <v>1998</v>
      </c>
      <c r="B596" s="330" t="s">
        <v>18</v>
      </c>
      <c r="C596" s="331">
        <v>30853453120</v>
      </c>
      <c r="D596" s="331">
        <v>12092712889</v>
      </c>
      <c r="E596" s="331">
        <v>38737275</v>
      </c>
      <c r="F596" s="331">
        <v>117277</v>
      </c>
      <c r="G596" s="332">
        <f t="shared" si="18"/>
        <v>3.8010980341120406E-6</v>
      </c>
      <c r="H596" s="331">
        <v>558253</v>
      </c>
      <c r="I596" s="331">
        <v>0</v>
      </c>
      <c r="J596" s="331">
        <f t="shared" si="19"/>
        <v>558253</v>
      </c>
      <c r="K596" s="199">
        <v>0.32</v>
      </c>
      <c r="L596" s="199">
        <v>1.53</v>
      </c>
    </row>
    <row r="597" spans="1:12" ht="15" customHeight="1" x14ac:dyDescent="0.25">
      <c r="A597" s="49">
        <v>1999</v>
      </c>
      <c r="B597" s="330" t="s">
        <v>18</v>
      </c>
      <c r="C597" s="331">
        <v>32734803632</v>
      </c>
      <c r="D597" s="331">
        <v>12554695160</v>
      </c>
      <c r="E597" s="331">
        <v>41480427</v>
      </c>
      <c r="F597" s="331">
        <v>139221</v>
      </c>
      <c r="G597" s="332">
        <f t="shared" si="18"/>
        <v>4.252996338853981E-6</v>
      </c>
      <c r="H597" s="331">
        <v>468205</v>
      </c>
      <c r="I597" s="331">
        <v>0</v>
      </c>
      <c r="J597" s="331">
        <f t="shared" si="19"/>
        <v>468205</v>
      </c>
      <c r="K597" s="199">
        <v>0.33</v>
      </c>
      <c r="L597" s="199">
        <v>1.53</v>
      </c>
    </row>
    <row r="598" spans="1:12" ht="15" customHeight="1" x14ac:dyDescent="0.25">
      <c r="A598" s="49">
        <v>2000</v>
      </c>
      <c r="B598" s="330" t="s">
        <v>18</v>
      </c>
      <c r="C598" s="331">
        <v>34653013886</v>
      </c>
      <c r="D598" s="331">
        <v>13065935852</v>
      </c>
      <c r="E598" s="331">
        <v>147981769</v>
      </c>
      <c r="F598" s="331">
        <v>153878</v>
      </c>
      <c r="G598" s="332">
        <f t="shared" si="18"/>
        <v>4.4405372792745025E-6</v>
      </c>
      <c r="H598" s="331">
        <v>495977</v>
      </c>
      <c r="I598" s="331">
        <v>0</v>
      </c>
      <c r="J598" s="331">
        <f t="shared" si="19"/>
        <v>495977</v>
      </c>
      <c r="K598" s="199">
        <v>1.1299999999999999</v>
      </c>
      <c r="L598" s="199">
        <v>1.53</v>
      </c>
    </row>
    <row r="599" spans="1:12" ht="15" customHeight="1" x14ac:dyDescent="0.25">
      <c r="A599" s="49">
        <v>2001</v>
      </c>
      <c r="B599" s="330" t="s">
        <v>18</v>
      </c>
      <c r="C599" s="331">
        <v>35720309728</v>
      </c>
      <c r="D599" s="331">
        <v>13186835556</v>
      </c>
      <c r="E599" s="331">
        <v>173577470</v>
      </c>
      <c r="F599" s="331">
        <v>215264</v>
      </c>
      <c r="G599" s="332">
        <f t="shared" si="18"/>
        <v>6.0263755168746896E-6</v>
      </c>
      <c r="H599" s="331">
        <v>473684</v>
      </c>
      <c r="I599" s="331">
        <v>0</v>
      </c>
      <c r="J599" s="331">
        <f t="shared" si="19"/>
        <v>473684</v>
      </c>
      <c r="K599" s="199">
        <v>1.32</v>
      </c>
      <c r="L599" s="199">
        <v>1.46</v>
      </c>
    </row>
    <row r="600" spans="1:12" ht="15" customHeight="1" x14ac:dyDescent="0.25">
      <c r="A600" s="49">
        <v>2002</v>
      </c>
      <c r="B600" s="330" t="s">
        <v>18</v>
      </c>
      <c r="C600" s="331">
        <v>35881480745</v>
      </c>
      <c r="D600" s="331">
        <v>13167412763</v>
      </c>
      <c r="E600" s="331">
        <v>185782468</v>
      </c>
      <c r="F600" s="331">
        <v>318659</v>
      </c>
      <c r="G600" s="332">
        <f t="shared" si="18"/>
        <v>8.8808765241497011E-6</v>
      </c>
      <c r="H600" s="331">
        <v>415955</v>
      </c>
      <c r="I600" s="331">
        <v>0</v>
      </c>
      <c r="J600" s="331">
        <f t="shared" si="19"/>
        <v>415955</v>
      </c>
      <c r="K600" s="199">
        <v>1.41</v>
      </c>
      <c r="L600" s="199">
        <v>1.46</v>
      </c>
    </row>
    <row r="601" spans="1:12" ht="15" customHeight="1" x14ac:dyDescent="0.25">
      <c r="A601" s="49">
        <v>2003</v>
      </c>
      <c r="B601" s="330" t="s">
        <v>18</v>
      </c>
      <c r="C601" s="331">
        <v>36084577625</v>
      </c>
      <c r="D601" s="331">
        <v>13057799176</v>
      </c>
      <c r="E601" s="331">
        <v>233353321</v>
      </c>
      <c r="F601" s="331">
        <v>316897</v>
      </c>
      <c r="G601" s="332">
        <f t="shared" si="18"/>
        <v>8.7820620569062293E-6</v>
      </c>
      <c r="H601" s="331">
        <v>293884</v>
      </c>
      <c r="I601" s="331">
        <v>0</v>
      </c>
      <c r="J601" s="331">
        <f t="shared" si="19"/>
        <v>293884</v>
      </c>
      <c r="K601" s="199">
        <v>1.79</v>
      </c>
      <c r="L601" s="199">
        <v>1.46</v>
      </c>
    </row>
    <row r="602" spans="1:12" ht="15" customHeight="1" x14ac:dyDescent="0.25">
      <c r="A602" s="49">
        <v>2004</v>
      </c>
      <c r="B602" s="330" t="s">
        <v>18</v>
      </c>
      <c r="C602" s="331">
        <v>37789738312</v>
      </c>
      <c r="D602" s="331">
        <v>13393961117</v>
      </c>
      <c r="E602" s="331">
        <v>311860534</v>
      </c>
      <c r="F602" s="331">
        <v>222919</v>
      </c>
      <c r="G602" s="332">
        <f t="shared" si="18"/>
        <v>5.8989294437430077E-6</v>
      </c>
      <c r="H602" s="331">
        <v>327094</v>
      </c>
      <c r="I602" s="331">
        <v>0</v>
      </c>
      <c r="J602" s="331">
        <f t="shared" si="19"/>
        <v>327094</v>
      </c>
      <c r="K602" s="199">
        <v>2.33</v>
      </c>
      <c r="L602" s="199">
        <v>1.46</v>
      </c>
    </row>
    <row r="603" spans="1:12" ht="15" customHeight="1" x14ac:dyDescent="0.25">
      <c r="A603" s="49">
        <v>2005</v>
      </c>
      <c r="B603" s="330" t="s">
        <v>18</v>
      </c>
      <c r="C603" s="331">
        <v>39510608899</v>
      </c>
      <c r="D603" s="331">
        <v>13807341580</v>
      </c>
      <c r="E603" s="331">
        <v>346910619</v>
      </c>
      <c r="F603" s="331">
        <v>199977</v>
      </c>
      <c r="G603" s="332">
        <f t="shared" si="18"/>
        <v>5.0613494849243227E-6</v>
      </c>
      <c r="H603" s="331">
        <v>453519</v>
      </c>
      <c r="I603" s="331">
        <v>0</v>
      </c>
      <c r="J603" s="331">
        <f t="shared" si="19"/>
        <v>453519</v>
      </c>
      <c r="K603" s="199">
        <v>2.5099999999999998</v>
      </c>
      <c r="L603" s="199">
        <v>1.46</v>
      </c>
    </row>
    <row r="604" spans="1:12" ht="15" customHeight="1" x14ac:dyDescent="0.25">
      <c r="A604" s="49">
        <v>2006</v>
      </c>
      <c r="B604" s="330" t="s">
        <v>18</v>
      </c>
      <c r="C604" s="331">
        <v>42397283437</v>
      </c>
      <c r="D604" s="331">
        <v>14403237211</v>
      </c>
      <c r="E604" s="331">
        <v>328727383</v>
      </c>
      <c r="F604" s="331">
        <v>167077</v>
      </c>
      <c r="G604" s="332">
        <f t="shared" si="18"/>
        <v>3.9407477662635417E-6</v>
      </c>
      <c r="H604" s="331">
        <v>603853</v>
      </c>
      <c r="I604" s="331">
        <v>0</v>
      </c>
      <c r="J604" s="331">
        <f t="shared" si="19"/>
        <v>603853</v>
      </c>
      <c r="K604" s="199">
        <v>2.2799999999999998</v>
      </c>
      <c r="L604" s="199">
        <v>1.46</v>
      </c>
    </row>
    <row r="605" spans="1:12" ht="15" customHeight="1" x14ac:dyDescent="0.25">
      <c r="A605" s="49">
        <v>2007</v>
      </c>
      <c r="B605" s="330" t="s">
        <v>18</v>
      </c>
      <c r="C605" s="331">
        <v>45019497085</v>
      </c>
      <c r="D605" s="331">
        <v>14969143084</v>
      </c>
      <c r="E605" s="331">
        <v>216992119</v>
      </c>
      <c r="F605" s="331">
        <v>177673</v>
      </c>
      <c r="G605" s="332">
        <f t="shared" si="18"/>
        <v>3.9465789603233637E-6</v>
      </c>
      <c r="H605" s="331">
        <v>637983</v>
      </c>
      <c r="I605" s="331">
        <v>0</v>
      </c>
      <c r="J605" s="331">
        <f t="shared" si="19"/>
        <v>637983</v>
      </c>
      <c r="K605" s="199">
        <v>1.45</v>
      </c>
      <c r="L605" s="199">
        <v>1.46</v>
      </c>
    </row>
    <row r="606" spans="1:12" ht="15" customHeight="1" x14ac:dyDescent="0.25">
      <c r="A606" s="49">
        <v>2008</v>
      </c>
      <c r="B606" s="330" t="s">
        <v>18</v>
      </c>
      <c r="C606" s="331">
        <v>46627925830</v>
      </c>
      <c r="D606" s="331">
        <v>15359540287</v>
      </c>
      <c r="E606" s="331">
        <v>217879607</v>
      </c>
      <c r="F606" s="331">
        <v>259545</v>
      </c>
      <c r="G606" s="332">
        <f t="shared" si="18"/>
        <v>5.5662994949908537E-6</v>
      </c>
      <c r="H606" s="331">
        <v>566419</v>
      </c>
      <c r="I606" s="331">
        <v>0</v>
      </c>
      <c r="J606" s="331">
        <f t="shared" si="19"/>
        <v>566419</v>
      </c>
      <c r="K606" s="199">
        <v>1.4</v>
      </c>
      <c r="L606" s="199">
        <v>1.46</v>
      </c>
    </row>
    <row r="607" spans="1:12" ht="15" customHeight="1" x14ac:dyDescent="0.25">
      <c r="A607" s="49">
        <v>2009</v>
      </c>
      <c r="B607" s="330" t="s">
        <v>18</v>
      </c>
      <c r="C607" s="331">
        <v>44467711119</v>
      </c>
      <c r="D607" s="331">
        <v>14862259118</v>
      </c>
      <c r="E607" s="331">
        <v>203693320</v>
      </c>
      <c r="F607" s="331">
        <v>650657</v>
      </c>
      <c r="G607" s="332">
        <f t="shared" si="18"/>
        <v>1.4632122581231523E-5</v>
      </c>
      <c r="H607" s="331">
        <v>119794</v>
      </c>
      <c r="I607" s="331">
        <v>0</v>
      </c>
      <c r="J607" s="331">
        <f t="shared" si="19"/>
        <v>119794</v>
      </c>
      <c r="K607" s="199">
        <v>1.4</v>
      </c>
      <c r="L607" s="199">
        <v>1.08</v>
      </c>
    </row>
    <row r="608" spans="1:12" ht="15" customHeight="1" x14ac:dyDescent="0.25">
      <c r="A608" s="49">
        <v>2010</v>
      </c>
      <c r="B608" s="330" t="s">
        <v>18</v>
      </c>
      <c r="C608" s="331">
        <v>44566593358</v>
      </c>
      <c r="D608" s="331">
        <v>14735626618</v>
      </c>
      <c r="E608" s="331">
        <v>372510789</v>
      </c>
      <c r="F608" s="331">
        <v>424999</v>
      </c>
      <c r="G608" s="332">
        <f t="shared" si="18"/>
        <v>9.5362684911995828E-6</v>
      </c>
      <c r="H608" s="331">
        <v>43444</v>
      </c>
      <c r="I608" s="331">
        <v>88159</v>
      </c>
      <c r="J608" s="331">
        <f t="shared" si="19"/>
        <v>-44715</v>
      </c>
      <c r="K608" s="199">
        <v>2.5</v>
      </c>
      <c r="L608" s="199">
        <v>1.1000000000000001</v>
      </c>
    </row>
    <row r="609" spans="1:12" ht="15" customHeight="1" x14ac:dyDescent="0.25">
      <c r="A609" s="49">
        <v>2011</v>
      </c>
      <c r="B609" s="330" t="s">
        <v>18</v>
      </c>
      <c r="C609" s="331">
        <v>45997560875</v>
      </c>
      <c r="D609" s="331">
        <v>14911701441</v>
      </c>
      <c r="E609" s="331">
        <v>397019087</v>
      </c>
      <c r="F609" s="331">
        <v>312053</v>
      </c>
      <c r="G609" s="332">
        <f t="shared" si="18"/>
        <v>6.7841205938726858E-6</v>
      </c>
      <c r="H609" s="331">
        <v>16150</v>
      </c>
      <c r="I609" s="331">
        <v>63047</v>
      </c>
      <c r="J609" s="331">
        <f t="shared" si="19"/>
        <v>-46897</v>
      </c>
      <c r="K609" s="199">
        <v>2.7</v>
      </c>
      <c r="L609" s="199">
        <v>1.1000000000000001</v>
      </c>
    </row>
    <row r="610" spans="1:12" ht="15" customHeight="1" x14ac:dyDescent="0.25">
      <c r="A610" s="49">
        <v>2012</v>
      </c>
      <c r="B610" s="330" t="s">
        <v>18</v>
      </c>
      <c r="C610" s="331">
        <v>48086947010</v>
      </c>
      <c r="D610" s="331">
        <v>15270151729</v>
      </c>
      <c r="E610" s="331">
        <v>416005048</v>
      </c>
      <c r="F610" s="331">
        <v>273938</v>
      </c>
      <c r="G610" s="332">
        <f t="shared" si="18"/>
        <v>5.6967226458155639E-6</v>
      </c>
      <c r="H610" s="331">
        <v>44094</v>
      </c>
      <c r="I610" s="331">
        <v>0</v>
      </c>
      <c r="J610" s="331">
        <f t="shared" si="19"/>
        <v>44094</v>
      </c>
      <c r="K610" s="199">
        <v>2.72</v>
      </c>
      <c r="L610" s="199">
        <v>1.1000000000000001</v>
      </c>
    </row>
    <row r="611" spans="1:12" ht="15" customHeight="1" x14ac:dyDescent="0.25">
      <c r="A611" s="49">
        <v>2013</v>
      </c>
      <c r="B611" s="330" t="s">
        <v>18</v>
      </c>
      <c r="C611" s="331">
        <v>49446532595</v>
      </c>
      <c r="D611" s="331">
        <v>15695796891</v>
      </c>
      <c r="E611" s="331">
        <v>421349180</v>
      </c>
      <c r="F611" s="331">
        <v>247955</v>
      </c>
      <c r="G611" s="332">
        <f t="shared" si="18"/>
        <v>5.0146084464792798E-6</v>
      </c>
      <c r="H611" s="331">
        <v>99480</v>
      </c>
      <c r="I611" s="331">
        <v>0</v>
      </c>
      <c r="J611" s="331">
        <f t="shared" si="19"/>
        <v>99480</v>
      </c>
      <c r="K611" s="199">
        <v>2.68</v>
      </c>
      <c r="L611" s="199">
        <v>1.1000000000000001</v>
      </c>
    </row>
    <row r="612" spans="1:12" ht="15" customHeight="1" x14ac:dyDescent="0.25">
      <c r="A612" s="49">
        <v>2014</v>
      </c>
      <c r="B612" s="330" t="s">
        <v>18</v>
      </c>
      <c r="C612" s="331">
        <v>51648383992</v>
      </c>
      <c r="D612" s="331">
        <v>16069196268</v>
      </c>
      <c r="E612" s="331">
        <v>375537873</v>
      </c>
      <c r="F612" s="331">
        <v>197679</v>
      </c>
      <c r="G612" s="332">
        <f t="shared" si="18"/>
        <v>3.8273995180685463E-6</v>
      </c>
      <c r="H612" s="331">
        <v>218683</v>
      </c>
      <c r="I612" s="331">
        <v>0</v>
      </c>
      <c r="J612" s="331">
        <f t="shared" si="19"/>
        <v>218683</v>
      </c>
      <c r="K612" s="333">
        <v>2.3370047060028853</v>
      </c>
      <c r="L612" s="199">
        <v>1.1000000000000001</v>
      </c>
    </row>
    <row r="613" spans="1:12" ht="15" customHeight="1" x14ac:dyDescent="0.25">
      <c r="A613" s="49">
        <v>2015</v>
      </c>
      <c r="B613" s="330" t="s">
        <v>18</v>
      </c>
      <c r="C613" s="334">
        <v>53420031000</v>
      </c>
      <c r="D613" s="334">
        <v>20049624000</v>
      </c>
      <c r="E613" s="334">
        <v>455042000</v>
      </c>
      <c r="F613" s="331">
        <v>182793</v>
      </c>
      <c r="G613" s="332">
        <f t="shared" si="18"/>
        <v>3.4218063257956553E-6</v>
      </c>
      <c r="H613" s="331">
        <v>456523</v>
      </c>
      <c r="I613" s="199">
        <v>0</v>
      </c>
      <c r="J613" s="331">
        <f t="shared" si="19"/>
        <v>456523</v>
      </c>
      <c r="K613" s="199">
        <v>2.2999999999999998</v>
      </c>
      <c r="L613" s="199">
        <v>1.1100000000000001</v>
      </c>
    </row>
    <row r="614" spans="1:12" ht="15" customHeight="1" x14ac:dyDescent="0.25">
      <c r="A614" s="49">
        <v>1980</v>
      </c>
      <c r="B614" s="330" t="s">
        <v>19</v>
      </c>
      <c r="C614" s="331">
        <v>12268344531</v>
      </c>
      <c r="D614" s="331">
        <v>5524189624</v>
      </c>
      <c r="E614" s="331">
        <v>145771251</v>
      </c>
      <c r="F614" s="331">
        <v>255589</v>
      </c>
      <c r="G614" s="332">
        <f t="shared" si="18"/>
        <v>2.0833210165737561E-5</v>
      </c>
      <c r="H614" s="331">
        <v>35712</v>
      </c>
      <c r="I614" s="331">
        <v>0</v>
      </c>
      <c r="J614" s="331">
        <f t="shared" si="19"/>
        <v>35712</v>
      </c>
      <c r="K614" s="199">
        <v>2.64</v>
      </c>
      <c r="L614" s="199">
        <v>2.12</v>
      </c>
    </row>
    <row r="615" spans="1:12" ht="15" customHeight="1" x14ac:dyDescent="0.25">
      <c r="A615" s="49">
        <v>1981</v>
      </c>
      <c r="B615" s="330" t="s">
        <v>19</v>
      </c>
      <c r="C615" s="331">
        <v>13313666102</v>
      </c>
      <c r="D615" s="331">
        <v>5624239034</v>
      </c>
      <c r="E615" s="331">
        <v>185726980</v>
      </c>
      <c r="F615" s="331">
        <v>219005</v>
      </c>
      <c r="G615" s="332">
        <f t="shared" si="18"/>
        <v>1.6449638914040419E-5</v>
      </c>
      <c r="H615" s="331">
        <v>43846</v>
      </c>
      <c r="I615" s="331">
        <v>52121</v>
      </c>
      <c r="J615" s="331">
        <f t="shared" si="19"/>
        <v>-8275</v>
      </c>
      <c r="K615" s="199">
        <v>3.3</v>
      </c>
      <c r="L615" s="199">
        <v>2.04</v>
      </c>
    </row>
    <row r="616" spans="1:12" ht="15" customHeight="1" x14ac:dyDescent="0.25">
      <c r="A616" s="49">
        <v>1982</v>
      </c>
      <c r="B616" s="330" t="s">
        <v>19</v>
      </c>
      <c r="C616" s="331">
        <v>13524939935</v>
      </c>
      <c r="D616" s="331">
        <v>6693740074</v>
      </c>
      <c r="E616" s="331">
        <v>237701120</v>
      </c>
      <c r="F616" s="331">
        <v>327474</v>
      </c>
      <c r="G616" s="332">
        <f t="shared" si="18"/>
        <v>2.4212602907947777E-5</v>
      </c>
      <c r="H616" s="331">
        <v>0</v>
      </c>
      <c r="I616" s="331">
        <v>121396</v>
      </c>
      <c r="J616" s="331">
        <f t="shared" si="19"/>
        <v>-121396</v>
      </c>
      <c r="K616" s="199">
        <v>3.55</v>
      </c>
      <c r="L616" s="199">
        <v>2.29</v>
      </c>
    </row>
    <row r="617" spans="1:12" ht="15" customHeight="1" x14ac:dyDescent="0.25">
      <c r="A617" s="49">
        <v>1983</v>
      </c>
      <c r="B617" s="330" t="s">
        <v>19</v>
      </c>
      <c r="C617" s="331">
        <v>13829742168</v>
      </c>
      <c r="D617" s="331">
        <v>6682009718</v>
      </c>
      <c r="E617" s="331">
        <v>245909628</v>
      </c>
      <c r="F617" s="331">
        <v>261881</v>
      </c>
      <c r="G617" s="332">
        <f t="shared" si="18"/>
        <v>1.8936072474724389E-5</v>
      </c>
      <c r="H617" s="331">
        <v>40</v>
      </c>
      <c r="I617" s="331">
        <v>150568</v>
      </c>
      <c r="J617" s="331">
        <f t="shared" si="19"/>
        <v>-150528</v>
      </c>
      <c r="K617" s="199">
        <v>3.68</v>
      </c>
      <c r="L617" s="199">
        <v>2.29</v>
      </c>
    </row>
    <row r="618" spans="1:12" ht="15" customHeight="1" x14ac:dyDescent="0.25">
      <c r="A618" s="49">
        <v>1984</v>
      </c>
      <c r="B618" s="330" t="s">
        <v>19</v>
      </c>
      <c r="C618" s="331">
        <v>15235450016</v>
      </c>
      <c r="D618" s="331">
        <v>7055786410</v>
      </c>
      <c r="E618" s="331">
        <v>272714396</v>
      </c>
      <c r="F618" s="331">
        <v>153135</v>
      </c>
      <c r="G618" s="332">
        <f t="shared" si="18"/>
        <v>1.0051229195014282E-5</v>
      </c>
      <c r="H618" s="331">
        <v>27</v>
      </c>
      <c r="I618" s="331">
        <v>11067</v>
      </c>
      <c r="J618" s="331">
        <f t="shared" si="19"/>
        <v>-11040</v>
      </c>
      <c r="K618" s="199">
        <v>3.87</v>
      </c>
      <c r="L618" s="199">
        <v>2.29</v>
      </c>
    </row>
    <row r="619" spans="1:12" ht="15" customHeight="1" x14ac:dyDescent="0.25">
      <c r="A619" s="49">
        <v>1985</v>
      </c>
      <c r="B619" s="330" t="s">
        <v>19</v>
      </c>
      <c r="C619" s="331">
        <v>15992558541</v>
      </c>
      <c r="D619" s="331">
        <v>7241125151</v>
      </c>
      <c r="E619" s="331">
        <v>251771916</v>
      </c>
      <c r="F619" s="331">
        <v>170728</v>
      </c>
      <c r="G619" s="332">
        <f t="shared" si="18"/>
        <v>1.0675465064724067E-5</v>
      </c>
      <c r="H619" s="331">
        <v>78732</v>
      </c>
      <c r="I619" s="331">
        <v>0</v>
      </c>
      <c r="J619" s="331">
        <f t="shared" si="19"/>
        <v>78732</v>
      </c>
      <c r="K619" s="199">
        <v>3.48</v>
      </c>
      <c r="L619" s="199">
        <v>2.29</v>
      </c>
    </row>
    <row r="620" spans="1:12" ht="15" customHeight="1" x14ac:dyDescent="0.25">
      <c r="A620" s="49">
        <v>1986</v>
      </c>
      <c r="B620" s="330" t="s">
        <v>19</v>
      </c>
      <c r="C620" s="331">
        <v>16684089039</v>
      </c>
      <c r="D620" s="331">
        <v>7390061679</v>
      </c>
      <c r="E620" s="331">
        <v>237763764</v>
      </c>
      <c r="F620" s="331">
        <v>177005</v>
      </c>
      <c r="G620" s="332">
        <f t="shared" si="18"/>
        <v>1.0609209743860802E-5</v>
      </c>
      <c r="H620" s="331">
        <v>151174</v>
      </c>
      <c r="I620" s="331">
        <v>0</v>
      </c>
      <c r="J620" s="331">
        <f t="shared" si="19"/>
        <v>151174</v>
      </c>
      <c r="K620" s="199">
        <v>3.22</v>
      </c>
      <c r="L620" s="199">
        <v>2.29</v>
      </c>
    </row>
    <row r="621" spans="1:12" ht="15" customHeight="1" x14ac:dyDescent="0.25">
      <c r="A621" s="49">
        <v>1987</v>
      </c>
      <c r="B621" s="330" t="s">
        <v>19</v>
      </c>
      <c r="C621" s="331">
        <v>18049629856</v>
      </c>
      <c r="D621" s="331">
        <v>7774873574</v>
      </c>
      <c r="E621" s="331">
        <v>218915607</v>
      </c>
      <c r="F621" s="331">
        <v>136149</v>
      </c>
      <c r="G621" s="332">
        <f t="shared" si="18"/>
        <v>7.5430355683854532E-6</v>
      </c>
      <c r="H621" s="331">
        <v>251483</v>
      </c>
      <c r="I621" s="331">
        <v>0</v>
      </c>
      <c r="J621" s="331">
        <f t="shared" si="19"/>
        <v>251483</v>
      </c>
      <c r="K621" s="199">
        <v>2.82</v>
      </c>
      <c r="L621" s="199">
        <v>2.29</v>
      </c>
    </row>
    <row r="622" spans="1:12" ht="15" customHeight="1" x14ac:dyDescent="0.25">
      <c r="A622" s="49">
        <v>1988</v>
      </c>
      <c r="B622" s="330" t="s">
        <v>19</v>
      </c>
      <c r="C622" s="331">
        <v>19371692221</v>
      </c>
      <c r="D622" s="331">
        <v>8142675425</v>
      </c>
      <c r="E622" s="331">
        <v>199671924</v>
      </c>
      <c r="F622" s="331">
        <v>143388</v>
      </c>
      <c r="G622" s="332">
        <f t="shared" si="18"/>
        <v>7.4019346562072348E-6</v>
      </c>
      <c r="H622" s="331">
        <v>333643</v>
      </c>
      <c r="I622" s="331">
        <v>0</v>
      </c>
      <c r="J622" s="331">
        <f t="shared" si="19"/>
        <v>333643</v>
      </c>
      <c r="K622" s="199">
        <v>2.4500000000000002</v>
      </c>
      <c r="L622" s="199">
        <v>2.29</v>
      </c>
    </row>
    <row r="623" spans="1:12" ht="15" customHeight="1" x14ac:dyDescent="0.25">
      <c r="A623" s="49">
        <v>1989</v>
      </c>
      <c r="B623" s="330" t="s">
        <v>19</v>
      </c>
      <c r="C623" s="331">
        <v>20559417461</v>
      </c>
      <c r="D623" s="331">
        <v>8490379291</v>
      </c>
      <c r="E623" s="331">
        <v>180888586</v>
      </c>
      <c r="F623" s="331">
        <v>154580</v>
      </c>
      <c r="G623" s="332">
        <f t="shared" si="18"/>
        <v>7.5186955220511051E-6</v>
      </c>
      <c r="H623" s="331">
        <v>393375</v>
      </c>
      <c r="I623" s="331">
        <v>0</v>
      </c>
      <c r="J623" s="331">
        <f t="shared" si="19"/>
        <v>393375</v>
      </c>
      <c r="K623" s="199">
        <v>2.13</v>
      </c>
      <c r="L623" s="199">
        <v>2.29</v>
      </c>
    </row>
    <row r="624" spans="1:12" ht="15" customHeight="1" x14ac:dyDescent="0.25">
      <c r="A624" s="49">
        <v>1990</v>
      </c>
      <c r="B624" s="330" t="s">
        <v>19</v>
      </c>
      <c r="C624" s="331">
        <v>22075704087</v>
      </c>
      <c r="D624" s="331">
        <v>8785036499</v>
      </c>
      <c r="E624" s="331">
        <v>171952204</v>
      </c>
      <c r="F624" s="331">
        <v>186720</v>
      </c>
      <c r="G624" s="332">
        <f t="shared" si="18"/>
        <v>8.458167370976683E-6</v>
      </c>
      <c r="H624" s="331">
        <v>413910</v>
      </c>
      <c r="I624" s="331">
        <v>0</v>
      </c>
      <c r="J624" s="331">
        <f t="shared" si="19"/>
        <v>413910</v>
      </c>
      <c r="K624" s="199">
        <v>1.96</v>
      </c>
      <c r="L624" s="199">
        <v>2.29</v>
      </c>
    </row>
    <row r="625" spans="1:12" ht="15" customHeight="1" x14ac:dyDescent="0.25">
      <c r="A625" s="49">
        <v>1991</v>
      </c>
      <c r="B625" s="330" t="s">
        <v>19</v>
      </c>
      <c r="C625" s="331">
        <v>22623250979</v>
      </c>
      <c r="D625" s="331">
        <v>8840603987</v>
      </c>
      <c r="E625" s="331">
        <v>176186030</v>
      </c>
      <c r="F625" s="331">
        <v>263861</v>
      </c>
      <c r="G625" s="332">
        <f t="shared" si="18"/>
        <v>1.1663266267298568E-5</v>
      </c>
      <c r="H625" s="331">
        <v>357940</v>
      </c>
      <c r="I625" s="331">
        <v>0</v>
      </c>
      <c r="J625" s="331">
        <f t="shared" si="19"/>
        <v>357940</v>
      </c>
      <c r="K625" s="199">
        <v>1.99</v>
      </c>
      <c r="L625" s="199">
        <v>2.29</v>
      </c>
    </row>
    <row r="626" spans="1:12" ht="15" customHeight="1" x14ac:dyDescent="0.25">
      <c r="A626" s="49">
        <v>1992</v>
      </c>
      <c r="B626" s="330" t="s">
        <v>19</v>
      </c>
      <c r="C626" s="331">
        <v>24450941092</v>
      </c>
      <c r="D626" s="331">
        <v>9149164200</v>
      </c>
      <c r="E626" s="331">
        <v>200306637</v>
      </c>
      <c r="F626" s="331">
        <v>215715</v>
      </c>
      <c r="G626" s="332">
        <f t="shared" si="18"/>
        <v>8.8223598097244154E-6</v>
      </c>
      <c r="H626" s="331">
        <v>364287</v>
      </c>
      <c r="I626" s="331">
        <v>0</v>
      </c>
      <c r="J626" s="331">
        <f t="shared" si="19"/>
        <v>364287</v>
      </c>
      <c r="K626" s="199">
        <v>2.19</v>
      </c>
      <c r="L626" s="199">
        <v>2.29</v>
      </c>
    </row>
    <row r="627" spans="1:12" ht="15" customHeight="1" x14ac:dyDescent="0.25">
      <c r="A627" s="49">
        <v>1993</v>
      </c>
      <c r="B627" s="330" t="s">
        <v>19</v>
      </c>
      <c r="C627" s="331">
        <v>25689263606</v>
      </c>
      <c r="D627" s="331">
        <v>9572793360</v>
      </c>
      <c r="E627" s="331">
        <v>205063145</v>
      </c>
      <c r="F627" s="331">
        <v>198401</v>
      </c>
      <c r="G627" s="332">
        <f t="shared" si="18"/>
        <v>7.7231096633560704E-6</v>
      </c>
      <c r="H627" s="331">
        <v>402311</v>
      </c>
      <c r="I627" s="331">
        <v>0</v>
      </c>
      <c r="J627" s="331">
        <f t="shared" si="19"/>
        <v>402311</v>
      </c>
      <c r="K627" s="199">
        <v>2.14</v>
      </c>
      <c r="L627" s="199">
        <v>2.29</v>
      </c>
    </row>
    <row r="628" spans="1:12" ht="15" customHeight="1" x14ac:dyDescent="0.25">
      <c r="A628" s="49">
        <v>1994</v>
      </c>
      <c r="B628" s="330" t="s">
        <v>19</v>
      </c>
      <c r="C628" s="331">
        <v>27494323437</v>
      </c>
      <c r="D628" s="331">
        <v>10077589846</v>
      </c>
      <c r="E628" s="331">
        <v>215036194</v>
      </c>
      <c r="F628" s="331">
        <v>215362</v>
      </c>
      <c r="G628" s="332">
        <f t="shared" si="18"/>
        <v>7.832962338334189E-6</v>
      </c>
      <c r="H628" s="331">
        <v>425682</v>
      </c>
      <c r="I628" s="331">
        <v>0</v>
      </c>
      <c r="J628" s="331">
        <f t="shared" si="19"/>
        <v>425682</v>
      </c>
      <c r="K628" s="199">
        <v>2.13</v>
      </c>
      <c r="L628" s="199">
        <v>2.29</v>
      </c>
    </row>
    <row r="629" spans="1:12" ht="15" customHeight="1" x14ac:dyDescent="0.25">
      <c r="A629" s="49">
        <v>1995</v>
      </c>
      <c r="B629" s="330" t="s">
        <v>19</v>
      </c>
      <c r="C629" s="331">
        <v>29283285883</v>
      </c>
      <c r="D629" s="331">
        <v>10518781606</v>
      </c>
      <c r="E629" s="331">
        <v>220183045</v>
      </c>
      <c r="F629" s="331">
        <v>211389</v>
      </c>
      <c r="G629" s="332">
        <f t="shared" si="18"/>
        <v>7.2187595628644571E-6</v>
      </c>
      <c r="H629" s="331">
        <v>470826</v>
      </c>
      <c r="I629" s="331">
        <v>0</v>
      </c>
      <c r="J629" s="331">
        <f t="shared" si="19"/>
        <v>470826</v>
      </c>
      <c r="K629" s="199">
        <v>2.09</v>
      </c>
      <c r="L629" s="199">
        <v>2.2599999999999998</v>
      </c>
    </row>
    <row r="630" spans="1:12" ht="15" customHeight="1" x14ac:dyDescent="0.25">
      <c r="A630" s="49">
        <v>1996</v>
      </c>
      <c r="B630" s="330" t="s">
        <v>19</v>
      </c>
      <c r="C630" s="331">
        <v>31095059135</v>
      </c>
      <c r="D630" s="331">
        <v>10845684402</v>
      </c>
      <c r="E630" s="331">
        <v>223603295</v>
      </c>
      <c r="F630" s="331">
        <v>220931</v>
      </c>
      <c r="G630" s="332">
        <f t="shared" si="18"/>
        <v>7.1050194515090762E-6</v>
      </c>
      <c r="H630" s="331">
        <v>501304</v>
      </c>
      <c r="I630" s="331">
        <v>0</v>
      </c>
      <c r="J630" s="331">
        <f t="shared" si="19"/>
        <v>501304</v>
      </c>
      <c r="K630" s="199">
        <v>2.06</v>
      </c>
      <c r="L630" s="199">
        <v>2.2599999999999998</v>
      </c>
    </row>
    <row r="631" spans="1:12" x14ac:dyDescent="0.25">
      <c r="A631" s="49">
        <v>1997</v>
      </c>
      <c r="B631" s="330" t="s">
        <v>19</v>
      </c>
      <c r="C631" s="331">
        <v>33521110995</v>
      </c>
      <c r="D631" s="331">
        <v>11348372846</v>
      </c>
      <c r="E631" s="331">
        <v>240534744</v>
      </c>
      <c r="F631" s="331">
        <v>214411</v>
      </c>
      <c r="G631" s="332">
        <f t="shared" si="18"/>
        <v>6.3962975461040506E-6</v>
      </c>
      <c r="H631" s="331">
        <v>571366</v>
      </c>
      <c r="I631" s="331">
        <v>0</v>
      </c>
      <c r="J631" s="331">
        <f t="shared" si="19"/>
        <v>571366</v>
      </c>
      <c r="K631" s="199">
        <v>2.12</v>
      </c>
      <c r="L631" s="199">
        <v>2.2599999999999998</v>
      </c>
    </row>
    <row r="632" spans="1:12" ht="15" customHeight="1" x14ac:dyDescent="0.25">
      <c r="A632" s="49">
        <v>1998</v>
      </c>
      <c r="B632" s="330" t="s">
        <v>19</v>
      </c>
      <c r="C632" s="331">
        <v>35932646595</v>
      </c>
      <c r="D632" s="331">
        <v>11827123404</v>
      </c>
      <c r="E632" s="331">
        <v>246113940</v>
      </c>
      <c r="F632" s="331">
        <v>211130</v>
      </c>
      <c r="G632" s="332">
        <f t="shared" si="18"/>
        <v>5.8757152619361634E-6</v>
      </c>
      <c r="H632" s="331">
        <v>639269</v>
      </c>
      <c r="I632" s="331">
        <v>0</v>
      </c>
      <c r="J632" s="331">
        <f t="shared" si="19"/>
        <v>639269</v>
      </c>
      <c r="K632" s="199">
        <v>2.08</v>
      </c>
      <c r="L632" s="199">
        <v>2.2599999999999998</v>
      </c>
    </row>
    <row r="633" spans="1:12" ht="15" customHeight="1" x14ac:dyDescent="0.25">
      <c r="A633" s="49">
        <v>1999</v>
      </c>
      <c r="B633" s="330" t="s">
        <v>19</v>
      </c>
      <c r="C633" s="331">
        <v>38211001906</v>
      </c>
      <c r="D633" s="331">
        <v>12266750099</v>
      </c>
      <c r="E633" s="331">
        <v>225276890</v>
      </c>
      <c r="F633" s="331">
        <v>230951</v>
      </c>
      <c r="G633" s="332">
        <f t="shared" si="18"/>
        <v>6.0440969479979906E-6</v>
      </c>
      <c r="H633" s="331">
        <v>678494</v>
      </c>
      <c r="I633" s="331">
        <v>0</v>
      </c>
      <c r="J633" s="331">
        <f t="shared" si="19"/>
        <v>678494</v>
      </c>
      <c r="K633" s="199">
        <v>1.84</v>
      </c>
      <c r="L633" s="199">
        <v>2.2599999999999998</v>
      </c>
    </row>
    <row r="634" spans="1:12" ht="15" customHeight="1" x14ac:dyDescent="0.25">
      <c r="A634" s="49">
        <v>2000</v>
      </c>
      <c r="B634" s="330" t="s">
        <v>19</v>
      </c>
      <c r="C634" s="331">
        <v>40425651372</v>
      </c>
      <c r="D634" s="331">
        <v>12702910618</v>
      </c>
      <c r="E634" s="331">
        <v>236832570</v>
      </c>
      <c r="F634" s="331">
        <v>263128</v>
      </c>
      <c r="G634" s="332">
        <f t="shared" si="18"/>
        <v>6.5089365556209745E-6</v>
      </c>
      <c r="H634" s="331">
        <v>700183</v>
      </c>
      <c r="I634" s="331">
        <v>0</v>
      </c>
      <c r="J634" s="331">
        <f t="shared" si="19"/>
        <v>700183</v>
      </c>
      <c r="K634" s="199">
        <v>1.86</v>
      </c>
      <c r="L634" s="199">
        <v>2.2599999999999998</v>
      </c>
    </row>
    <row r="635" spans="1:12" ht="15" customHeight="1" x14ac:dyDescent="0.25">
      <c r="A635" s="49">
        <v>2001</v>
      </c>
      <c r="B635" s="330" t="s">
        <v>19</v>
      </c>
      <c r="C635" s="331">
        <v>41044555986</v>
      </c>
      <c r="D635" s="331">
        <v>12367321867</v>
      </c>
      <c r="E635" s="331">
        <v>203644217</v>
      </c>
      <c r="F635" s="331">
        <v>403449</v>
      </c>
      <c r="G635" s="332">
        <f t="shared" si="18"/>
        <v>9.82953744554122E-6</v>
      </c>
      <c r="H635" s="331">
        <v>544307</v>
      </c>
      <c r="I635" s="331">
        <v>0</v>
      </c>
      <c r="J635" s="331">
        <f t="shared" si="19"/>
        <v>544307</v>
      </c>
      <c r="K635" s="199">
        <v>1.65</v>
      </c>
      <c r="L635" s="199">
        <v>2.11</v>
      </c>
    </row>
    <row r="636" spans="1:12" ht="15" customHeight="1" x14ac:dyDescent="0.25">
      <c r="A636" s="49">
        <v>2002</v>
      </c>
      <c r="B636" s="330" t="s">
        <v>19</v>
      </c>
      <c r="C636" s="331">
        <v>41372412292</v>
      </c>
      <c r="D636" s="331">
        <v>12203271044</v>
      </c>
      <c r="E636" s="331">
        <v>271229483</v>
      </c>
      <c r="F636" s="331">
        <v>488739</v>
      </c>
      <c r="G636" s="332">
        <f t="shared" si="18"/>
        <v>1.1813161788840273E-5</v>
      </c>
      <c r="H636" s="331">
        <v>488426</v>
      </c>
      <c r="I636" s="331">
        <v>0</v>
      </c>
      <c r="J636" s="331">
        <f t="shared" si="19"/>
        <v>488426</v>
      </c>
      <c r="K636" s="199">
        <v>2.2200000000000002</v>
      </c>
      <c r="L636" s="199">
        <v>2.11</v>
      </c>
    </row>
    <row r="637" spans="1:12" ht="15" customHeight="1" x14ac:dyDescent="0.25">
      <c r="A637" s="49">
        <v>2003</v>
      </c>
      <c r="B637" s="330" t="s">
        <v>19</v>
      </c>
      <c r="C637" s="331">
        <v>42355833645</v>
      </c>
      <c r="D637" s="331">
        <v>12072083501</v>
      </c>
      <c r="E637" s="331">
        <v>283683089</v>
      </c>
      <c r="F637" s="331">
        <v>448012</v>
      </c>
      <c r="G637" s="332">
        <f t="shared" si="18"/>
        <v>1.0577338738152464E-5</v>
      </c>
      <c r="H637" s="331">
        <v>340062</v>
      </c>
      <c r="I637" s="331">
        <v>0</v>
      </c>
      <c r="J637" s="331">
        <f t="shared" si="19"/>
        <v>340062</v>
      </c>
      <c r="K637" s="199">
        <v>2.35</v>
      </c>
      <c r="L637" s="199">
        <v>2.11</v>
      </c>
    </row>
    <row r="638" spans="1:12" ht="15" customHeight="1" x14ac:dyDescent="0.25">
      <c r="A638" s="49">
        <v>2004</v>
      </c>
      <c r="B638" s="330" t="s">
        <v>19</v>
      </c>
      <c r="C638" s="331">
        <v>44556567413</v>
      </c>
      <c r="D638" s="331">
        <v>12334027544</v>
      </c>
      <c r="E638" s="331">
        <v>317658966</v>
      </c>
      <c r="F638" s="331">
        <v>400490</v>
      </c>
      <c r="G638" s="332">
        <f t="shared" si="18"/>
        <v>8.9883494903862696E-6</v>
      </c>
      <c r="H638" s="331">
        <v>266952</v>
      </c>
      <c r="I638" s="331">
        <v>0</v>
      </c>
      <c r="J638" s="331">
        <f t="shared" si="19"/>
        <v>266952</v>
      </c>
      <c r="K638" s="199">
        <v>2.58</v>
      </c>
      <c r="L638" s="199">
        <v>2.11</v>
      </c>
    </row>
    <row r="639" spans="1:12" ht="15" customHeight="1" x14ac:dyDescent="0.25">
      <c r="A639" s="49">
        <v>2005</v>
      </c>
      <c r="B639" s="330" t="s">
        <v>19</v>
      </c>
      <c r="C639" s="331">
        <v>46400962379</v>
      </c>
      <c r="D639" s="331">
        <v>12653442953</v>
      </c>
      <c r="E639" s="331">
        <v>352286400</v>
      </c>
      <c r="F639" s="331">
        <v>361104</v>
      </c>
      <c r="G639" s="332">
        <f t="shared" si="18"/>
        <v>7.7822523819770448E-6</v>
      </c>
      <c r="H639" s="331">
        <v>264630</v>
      </c>
      <c r="I639" s="331">
        <v>0</v>
      </c>
      <c r="J639" s="331">
        <f t="shared" si="19"/>
        <v>264630</v>
      </c>
      <c r="K639" s="199">
        <v>2.78</v>
      </c>
      <c r="L639" s="199">
        <v>2.11</v>
      </c>
    </row>
    <row r="640" spans="1:12" ht="15" customHeight="1" x14ac:dyDescent="0.25">
      <c r="A640" s="49">
        <v>2006</v>
      </c>
      <c r="B640" s="330" t="s">
        <v>19</v>
      </c>
      <c r="C640" s="331">
        <v>48639092100</v>
      </c>
      <c r="D640" s="331">
        <v>12921104243</v>
      </c>
      <c r="E640" s="331">
        <v>348143292</v>
      </c>
      <c r="F640" s="331">
        <v>365488</v>
      </c>
      <c r="G640" s="332">
        <f t="shared" si="18"/>
        <v>7.5142849962859401E-6</v>
      </c>
      <c r="H640" s="331">
        <v>263919</v>
      </c>
      <c r="I640" s="331">
        <v>0</v>
      </c>
      <c r="J640" s="331">
        <f t="shared" si="19"/>
        <v>263919</v>
      </c>
      <c r="K640" s="199">
        <v>2.69</v>
      </c>
      <c r="L640" s="199">
        <v>2.11</v>
      </c>
    </row>
    <row r="641" spans="1:12" ht="15" customHeight="1" x14ac:dyDescent="0.25">
      <c r="A641" s="49">
        <v>2007</v>
      </c>
      <c r="B641" s="330" t="s">
        <v>19</v>
      </c>
      <c r="C641" s="331">
        <v>50980237739</v>
      </c>
      <c r="D641" s="331">
        <v>13106375822</v>
      </c>
      <c r="E641" s="331">
        <v>345524315</v>
      </c>
      <c r="F641" s="331">
        <v>392868</v>
      </c>
      <c r="G641" s="332">
        <f t="shared" si="18"/>
        <v>7.7062802651360539E-6</v>
      </c>
      <c r="H641" s="331">
        <v>230766</v>
      </c>
      <c r="I641" s="331">
        <v>0</v>
      </c>
      <c r="J641" s="331">
        <f t="shared" si="19"/>
        <v>230766</v>
      </c>
      <c r="K641" s="199">
        <v>2.64</v>
      </c>
      <c r="L641" s="199">
        <v>2.11</v>
      </c>
    </row>
    <row r="642" spans="1:12" ht="15" customHeight="1" x14ac:dyDescent="0.25">
      <c r="A642" s="49">
        <v>2008</v>
      </c>
      <c r="B642" s="330" t="s">
        <v>19</v>
      </c>
      <c r="C642" s="331">
        <v>51540891329</v>
      </c>
      <c r="D642" s="331">
        <v>12957245783</v>
      </c>
      <c r="E642" s="331">
        <v>365406619</v>
      </c>
      <c r="F642" s="331">
        <v>539390</v>
      </c>
      <c r="G642" s="332">
        <f t="shared" ref="G642:G705" si="20">F642/C642</f>
        <v>1.0465282731664883E-5</v>
      </c>
      <c r="H642" s="331">
        <v>81861</v>
      </c>
      <c r="I642" s="331">
        <v>0</v>
      </c>
      <c r="J642" s="331">
        <f t="shared" ref="J642:J705" si="21">H642-I642</f>
        <v>81861</v>
      </c>
      <c r="K642" s="199">
        <v>2.8</v>
      </c>
      <c r="L642" s="199">
        <v>2.11</v>
      </c>
    </row>
    <row r="643" spans="1:12" ht="15" customHeight="1" x14ac:dyDescent="0.25">
      <c r="A643" s="49">
        <v>2009</v>
      </c>
      <c r="B643" s="330" t="s">
        <v>19</v>
      </c>
      <c r="C643" s="331">
        <v>48989172578</v>
      </c>
      <c r="D643" s="331">
        <v>12280846699</v>
      </c>
      <c r="E643" s="331">
        <v>376446533</v>
      </c>
      <c r="F643" s="331">
        <v>1041755</v>
      </c>
      <c r="G643" s="332">
        <f t="shared" si="20"/>
        <v>2.1265005003734847E-5</v>
      </c>
      <c r="H643" s="331">
        <v>10437</v>
      </c>
      <c r="I643" s="331">
        <v>576700</v>
      </c>
      <c r="J643" s="331">
        <f t="shared" si="21"/>
        <v>-566263</v>
      </c>
      <c r="K643" s="199">
        <v>3.1</v>
      </c>
      <c r="L643" s="199">
        <v>1.49</v>
      </c>
    </row>
    <row r="644" spans="1:12" ht="15" customHeight="1" x14ac:dyDescent="0.25">
      <c r="A644" s="49">
        <v>2010</v>
      </c>
      <c r="B644" s="330" t="s">
        <v>19</v>
      </c>
      <c r="C644" s="331">
        <v>49746869099</v>
      </c>
      <c r="D644" s="331">
        <v>12250498985</v>
      </c>
      <c r="E644" s="331">
        <v>429389850</v>
      </c>
      <c r="F644" s="331">
        <v>654741</v>
      </c>
      <c r="G644" s="332">
        <f t="shared" si="20"/>
        <v>1.316145140103222E-5</v>
      </c>
      <c r="H644" s="331">
        <v>9144</v>
      </c>
      <c r="I644" s="331">
        <v>804700</v>
      </c>
      <c r="J644" s="331">
        <f t="shared" si="21"/>
        <v>-795556</v>
      </c>
      <c r="K644" s="199">
        <v>3.5</v>
      </c>
      <c r="L644" s="199">
        <v>1.54</v>
      </c>
    </row>
    <row r="645" spans="1:12" ht="15" customHeight="1" x14ac:dyDescent="0.25">
      <c r="A645" s="49">
        <v>2011</v>
      </c>
      <c r="B645" s="330" t="s">
        <v>19</v>
      </c>
      <c r="C645" s="331">
        <v>51730275542</v>
      </c>
      <c r="D645" s="331">
        <v>12521573070</v>
      </c>
      <c r="E645" s="331">
        <v>443946250</v>
      </c>
      <c r="F645" s="331">
        <v>518772</v>
      </c>
      <c r="G645" s="332">
        <f t="shared" si="20"/>
        <v>1.002840202501545E-5</v>
      </c>
      <c r="H645" s="331">
        <v>67988</v>
      </c>
      <c r="I645" s="331">
        <v>948700</v>
      </c>
      <c r="J645" s="331">
        <f t="shared" si="21"/>
        <v>-880712</v>
      </c>
      <c r="K645" s="199">
        <v>3.5</v>
      </c>
      <c r="L645" s="199">
        <v>1.54</v>
      </c>
    </row>
    <row r="646" spans="1:12" ht="15" customHeight="1" x14ac:dyDescent="0.25">
      <c r="A646" s="49">
        <v>2012</v>
      </c>
      <c r="B646" s="330" t="s">
        <v>19</v>
      </c>
      <c r="C646" s="331">
        <v>54038548057</v>
      </c>
      <c r="D646" s="331">
        <v>14052255589</v>
      </c>
      <c r="E646" s="331">
        <v>491822408</v>
      </c>
      <c r="F646" s="331">
        <v>443308</v>
      </c>
      <c r="G646" s="332">
        <f t="shared" si="20"/>
        <v>8.2035512784762013E-6</v>
      </c>
      <c r="H646" s="331">
        <v>40606</v>
      </c>
      <c r="I646" s="331">
        <v>837665</v>
      </c>
      <c r="J646" s="331">
        <f t="shared" si="21"/>
        <v>-797059</v>
      </c>
      <c r="K646" s="199">
        <v>3.5</v>
      </c>
      <c r="L646" s="199">
        <v>1.54</v>
      </c>
    </row>
    <row r="647" spans="1:12" ht="15" customHeight="1" x14ac:dyDescent="0.25">
      <c r="A647" s="49">
        <v>2013</v>
      </c>
      <c r="B647" s="330" t="s">
        <v>19</v>
      </c>
      <c r="C647" s="331">
        <v>55426418067</v>
      </c>
      <c r="D647" s="331">
        <v>14515433508</v>
      </c>
      <c r="E647" s="331">
        <v>495202395</v>
      </c>
      <c r="F647" s="331">
        <v>407518</v>
      </c>
      <c r="G647" s="332">
        <f t="shared" si="20"/>
        <v>7.3524145021853702E-6</v>
      </c>
      <c r="H647" s="331">
        <v>0</v>
      </c>
      <c r="I647" s="331">
        <v>639788</v>
      </c>
      <c r="J647" s="331">
        <f t="shared" si="21"/>
        <v>-639788</v>
      </c>
      <c r="K647" s="199">
        <v>3.41</v>
      </c>
      <c r="L647" s="199">
        <v>1.54</v>
      </c>
    </row>
    <row r="648" spans="1:12" ht="15" customHeight="1" x14ac:dyDescent="0.25">
      <c r="A648" s="49">
        <v>2014</v>
      </c>
      <c r="B648" s="330" t="s">
        <v>19</v>
      </c>
      <c r="C648" s="331">
        <v>58280990487</v>
      </c>
      <c r="D648" s="331">
        <v>15584547920</v>
      </c>
      <c r="E648" s="331">
        <v>511934143</v>
      </c>
      <c r="F648" s="331">
        <v>334230</v>
      </c>
      <c r="G648" s="332">
        <f t="shared" si="20"/>
        <v>5.734803015651432E-6</v>
      </c>
      <c r="H648" s="331">
        <v>0</v>
      </c>
      <c r="I648" s="331">
        <v>361502</v>
      </c>
      <c r="J648" s="331">
        <f t="shared" si="21"/>
        <v>-361502</v>
      </c>
      <c r="K648" s="333">
        <v>3.2848828572243889</v>
      </c>
      <c r="L648" s="199">
        <v>1.54</v>
      </c>
    </row>
    <row r="649" spans="1:12" ht="15" customHeight="1" x14ac:dyDescent="0.25">
      <c r="A649" s="49">
        <v>2015</v>
      </c>
      <c r="B649" s="330" t="s">
        <v>19</v>
      </c>
      <c r="C649" s="334">
        <v>61531571000</v>
      </c>
      <c r="D649" s="334">
        <v>16605287000</v>
      </c>
      <c r="E649" s="334">
        <v>527740000</v>
      </c>
      <c r="F649" s="331">
        <v>278841</v>
      </c>
      <c r="G649" s="332">
        <f t="shared" si="20"/>
        <v>4.531673667165105E-6</v>
      </c>
      <c r="H649" s="331">
        <v>3501</v>
      </c>
      <c r="I649" s="199">
        <v>0</v>
      </c>
      <c r="J649" s="331">
        <f t="shared" si="21"/>
        <v>3501</v>
      </c>
      <c r="K649" s="199">
        <v>3.2</v>
      </c>
      <c r="L649" s="199">
        <v>1.54</v>
      </c>
    </row>
    <row r="650" spans="1:12" ht="15" customHeight="1" x14ac:dyDescent="0.25">
      <c r="A650" s="49">
        <v>1980</v>
      </c>
      <c r="B650" s="330" t="s">
        <v>20</v>
      </c>
      <c r="C650" s="331">
        <v>18341190366</v>
      </c>
      <c r="D650" s="331">
        <v>8278099279</v>
      </c>
      <c r="E650" s="331">
        <v>162088835</v>
      </c>
      <c r="F650" s="331">
        <v>207890</v>
      </c>
      <c r="G650" s="332">
        <f t="shared" si="20"/>
        <v>1.1334596929181669E-5</v>
      </c>
      <c r="H650" s="331">
        <v>223131</v>
      </c>
      <c r="I650" s="331">
        <v>0</v>
      </c>
      <c r="J650" s="331">
        <f t="shared" si="21"/>
        <v>223131</v>
      </c>
      <c r="K650" s="199">
        <v>1.96</v>
      </c>
      <c r="L650" s="199">
        <v>1.53</v>
      </c>
    </row>
    <row r="651" spans="1:12" ht="15" customHeight="1" x14ac:dyDescent="0.25">
      <c r="A651" s="49">
        <v>1981</v>
      </c>
      <c r="B651" s="330" t="s">
        <v>20</v>
      </c>
      <c r="C651" s="331">
        <v>21254740865</v>
      </c>
      <c r="D651" s="331">
        <v>8892996658</v>
      </c>
      <c r="E651" s="331">
        <v>179397431</v>
      </c>
      <c r="F651" s="331">
        <v>226155</v>
      </c>
      <c r="G651" s="332">
        <f t="shared" si="20"/>
        <v>1.0640214408466748E-5</v>
      </c>
      <c r="H651" s="331">
        <v>210409</v>
      </c>
      <c r="I651" s="331">
        <v>0</v>
      </c>
      <c r="J651" s="331">
        <f t="shared" si="21"/>
        <v>210409</v>
      </c>
      <c r="K651" s="199">
        <v>2.02</v>
      </c>
      <c r="L651" s="199">
        <v>1.33</v>
      </c>
    </row>
    <row r="652" spans="1:12" ht="15" customHeight="1" x14ac:dyDescent="0.25">
      <c r="A652" s="49">
        <v>1982</v>
      </c>
      <c r="B652" s="330" t="s">
        <v>20</v>
      </c>
      <c r="C652" s="331">
        <v>21637823318</v>
      </c>
      <c r="D652" s="331">
        <v>8227287873</v>
      </c>
      <c r="E652" s="331">
        <v>163968403</v>
      </c>
      <c r="F652" s="331">
        <v>482187</v>
      </c>
      <c r="G652" s="332">
        <f t="shared" si="20"/>
        <v>2.2284450377172638E-5</v>
      </c>
      <c r="H652" s="331">
        <v>80</v>
      </c>
      <c r="I652" s="331">
        <v>102423</v>
      </c>
      <c r="J652" s="331">
        <f t="shared" si="21"/>
        <v>-102343</v>
      </c>
      <c r="K652" s="199">
        <v>1.99</v>
      </c>
      <c r="L652" s="199">
        <v>1.65</v>
      </c>
    </row>
    <row r="653" spans="1:12" ht="15" customHeight="1" x14ac:dyDescent="0.25">
      <c r="A653" s="49">
        <v>1983</v>
      </c>
      <c r="B653" s="330" t="s">
        <v>20</v>
      </c>
      <c r="C653" s="331">
        <v>21049006894</v>
      </c>
      <c r="D653" s="331">
        <v>8714865453</v>
      </c>
      <c r="E653" s="331">
        <v>286837382</v>
      </c>
      <c r="F653" s="331">
        <v>595653</v>
      </c>
      <c r="G653" s="332">
        <f t="shared" si="20"/>
        <v>2.8298389705492014E-5</v>
      </c>
      <c r="H653" s="331">
        <v>0</v>
      </c>
      <c r="I653" s="331">
        <v>520365</v>
      </c>
      <c r="J653" s="331">
        <f t="shared" si="21"/>
        <v>-520365</v>
      </c>
      <c r="K653" s="199">
        <v>3.29</v>
      </c>
      <c r="L653" s="199">
        <v>2.2400000000000002</v>
      </c>
    </row>
    <row r="654" spans="1:12" ht="15" customHeight="1" x14ac:dyDescent="0.25">
      <c r="A654" s="49">
        <v>1984</v>
      </c>
      <c r="B654" s="330" t="s">
        <v>20</v>
      </c>
      <c r="C654" s="331">
        <v>22139031125</v>
      </c>
      <c r="D654" s="331">
        <v>9007920533</v>
      </c>
      <c r="E654" s="331">
        <v>363183651</v>
      </c>
      <c r="F654" s="331">
        <v>397494</v>
      </c>
      <c r="G654" s="332">
        <f t="shared" si="20"/>
        <v>1.7954444246258765E-5</v>
      </c>
      <c r="H654" s="331">
        <v>0</v>
      </c>
      <c r="I654" s="331">
        <v>521188</v>
      </c>
      <c r="J654" s="331">
        <f t="shared" si="21"/>
        <v>-521188</v>
      </c>
      <c r="K654" s="199">
        <v>4.03</v>
      </c>
      <c r="L654" s="199">
        <v>2.39</v>
      </c>
    </row>
    <row r="655" spans="1:12" ht="15" customHeight="1" x14ac:dyDescent="0.25">
      <c r="A655" s="49">
        <v>1985</v>
      </c>
      <c r="B655" s="330" t="s">
        <v>20</v>
      </c>
      <c r="C655" s="331">
        <v>22353890248</v>
      </c>
      <c r="D655" s="331">
        <v>8919592331</v>
      </c>
      <c r="E655" s="331">
        <v>353751769</v>
      </c>
      <c r="F655" s="331">
        <v>445631</v>
      </c>
      <c r="G655" s="332">
        <f t="shared" si="20"/>
        <v>1.9935277262975313E-5</v>
      </c>
      <c r="H655" s="331">
        <v>0</v>
      </c>
      <c r="I655" s="331">
        <v>576948</v>
      </c>
      <c r="J655" s="331">
        <f t="shared" si="21"/>
        <v>-576948</v>
      </c>
      <c r="K655" s="199">
        <v>3.97</v>
      </c>
      <c r="L655" s="199">
        <v>2.46</v>
      </c>
    </row>
    <row r="656" spans="1:12" ht="15" customHeight="1" x14ac:dyDescent="0.25">
      <c r="A656" s="49">
        <v>1986</v>
      </c>
      <c r="B656" s="330" t="s">
        <v>20</v>
      </c>
      <c r="C656" s="331">
        <v>21048616109</v>
      </c>
      <c r="D656" s="331">
        <v>8333402974</v>
      </c>
      <c r="E656" s="331">
        <v>317893837</v>
      </c>
      <c r="F656" s="331">
        <v>538139</v>
      </c>
      <c r="G656" s="332">
        <f t="shared" si="20"/>
        <v>2.5566478917818338E-5</v>
      </c>
      <c r="H656" s="331">
        <v>0</v>
      </c>
      <c r="I656" s="331">
        <v>786692</v>
      </c>
      <c r="J656" s="331">
        <f t="shared" si="21"/>
        <v>-786692</v>
      </c>
      <c r="K656" s="199">
        <v>3.81</v>
      </c>
      <c r="L656" s="199">
        <v>2.73</v>
      </c>
    </row>
    <row r="657" spans="1:12" ht="15" customHeight="1" x14ac:dyDescent="0.25">
      <c r="A657" s="49">
        <v>1987</v>
      </c>
      <c r="B657" s="330" t="s">
        <v>20</v>
      </c>
      <c r="C657" s="331">
        <v>20903697713</v>
      </c>
      <c r="D657" s="331">
        <v>8038517677</v>
      </c>
      <c r="E657" s="331">
        <v>305712879</v>
      </c>
      <c r="F657" s="331">
        <v>354477</v>
      </c>
      <c r="G657" s="332">
        <f t="shared" si="20"/>
        <v>1.6957621798154443E-5</v>
      </c>
      <c r="H657" s="331">
        <v>663</v>
      </c>
      <c r="I657" s="331">
        <v>0</v>
      </c>
      <c r="J657" s="331">
        <f t="shared" si="21"/>
        <v>663</v>
      </c>
      <c r="K657" s="199">
        <v>3.8</v>
      </c>
      <c r="L657" s="199">
        <v>2.73</v>
      </c>
    </row>
    <row r="658" spans="1:12" ht="15" customHeight="1" x14ac:dyDescent="0.25">
      <c r="A658" s="49">
        <v>1988</v>
      </c>
      <c r="B658" s="330" t="s">
        <v>20</v>
      </c>
      <c r="C658" s="331">
        <v>22255541709</v>
      </c>
      <c r="D658" s="331">
        <v>9484299135</v>
      </c>
      <c r="E658" s="331">
        <v>311503789</v>
      </c>
      <c r="F658" s="331">
        <v>205249</v>
      </c>
      <c r="G658" s="332">
        <f t="shared" si="20"/>
        <v>9.2223771806461394E-6</v>
      </c>
      <c r="H658" s="331">
        <v>153986</v>
      </c>
      <c r="I658" s="331">
        <v>0</v>
      </c>
      <c r="J658" s="331">
        <f t="shared" si="21"/>
        <v>153986</v>
      </c>
      <c r="K658" s="199">
        <v>3.28</v>
      </c>
      <c r="L658" s="199">
        <v>2.73</v>
      </c>
    </row>
    <row r="659" spans="1:12" ht="15" customHeight="1" x14ac:dyDescent="0.25">
      <c r="A659" s="49">
        <v>1989</v>
      </c>
      <c r="B659" s="330" t="s">
        <v>20</v>
      </c>
      <c r="C659" s="331">
        <v>23055026734</v>
      </c>
      <c r="D659" s="331">
        <v>9764135262</v>
      </c>
      <c r="E659" s="331">
        <v>285950540</v>
      </c>
      <c r="F659" s="331">
        <v>150516</v>
      </c>
      <c r="G659" s="332">
        <f t="shared" si="20"/>
        <v>6.5285545636791282E-6</v>
      </c>
      <c r="H659" s="331">
        <v>306008</v>
      </c>
      <c r="I659" s="331">
        <v>0</v>
      </c>
      <c r="J659" s="331">
        <f t="shared" si="21"/>
        <v>306008</v>
      </c>
      <c r="K659" s="199">
        <v>2.93</v>
      </c>
      <c r="L659" s="199">
        <v>2.73</v>
      </c>
    </row>
    <row r="660" spans="1:12" ht="15" customHeight="1" x14ac:dyDescent="0.25">
      <c r="A660" s="49">
        <v>1990</v>
      </c>
      <c r="B660" s="330" t="s">
        <v>20</v>
      </c>
      <c r="C660" s="331">
        <v>24875569101</v>
      </c>
      <c r="D660" s="331">
        <v>10202917747</v>
      </c>
      <c r="E660" s="331">
        <v>232729567</v>
      </c>
      <c r="F660" s="331">
        <v>119847</v>
      </c>
      <c r="G660" s="332">
        <f t="shared" si="20"/>
        <v>4.817859624171659E-6</v>
      </c>
      <c r="H660" s="331">
        <v>455799</v>
      </c>
      <c r="I660" s="331">
        <v>0</v>
      </c>
      <c r="J660" s="331">
        <f t="shared" si="21"/>
        <v>455799</v>
      </c>
      <c r="K660" s="199">
        <v>2.2799999999999998</v>
      </c>
      <c r="L660" s="199">
        <v>2.73</v>
      </c>
    </row>
    <row r="661" spans="1:12" ht="15" customHeight="1" x14ac:dyDescent="0.25">
      <c r="A661" s="49">
        <v>1991</v>
      </c>
      <c r="B661" s="330" t="s">
        <v>20</v>
      </c>
      <c r="C661" s="331">
        <v>26027177281</v>
      </c>
      <c r="D661" s="331">
        <v>10333933267</v>
      </c>
      <c r="E661" s="331">
        <v>214635057</v>
      </c>
      <c r="F661" s="331">
        <v>157851</v>
      </c>
      <c r="G661" s="332">
        <f t="shared" si="20"/>
        <v>6.0648528380844513E-6</v>
      </c>
      <c r="H661" s="331">
        <v>559975</v>
      </c>
      <c r="I661" s="331">
        <v>0</v>
      </c>
      <c r="J661" s="331">
        <f t="shared" si="21"/>
        <v>559975</v>
      </c>
      <c r="K661" s="199">
        <v>2.08</v>
      </c>
      <c r="L661" s="199">
        <v>2.73</v>
      </c>
    </row>
    <row r="662" spans="1:12" ht="15" customHeight="1" x14ac:dyDescent="0.25">
      <c r="A662" s="49">
        <v>1992</v>
      </c>
      <c r="B662" s="330" t="s">
        <v>20</v>
      </c>
      <c r="C662" s="331">
        <v>27087208618</v>
      </c>
      <c r="D662" s="331">
        <v>10404400874</v>
      </c>
      <c r="E662" s="331">
        <v>194663011</v>
      </c>
      <c r="F662" s="331">
        <v>204518</v>
      </c>
      <c r="G662" s="332">
        <f t="shared" si="20"/>
        <v>7.550353485448982E-6</v>
      </c>
      <c r="H662" s="331">
        <v>600917</v>
      </c>
      <c r="I662" s="331">
        <v>0</v>
      </c>
      <c r="J662" s="331">
        <f t="shared" si="21"/>
        <v>600917</v>
      </c>
      <c r="K662" s="199">
        <v>1.87</v>
      </c>
      <c r="L662" s="199">
        <v>2.73</v>
      </c>
    </row>
    <row r="663" spans="1:12" ht="15" customHeight="1" x14ac:dyDescent="0.25">
      <c r="A663" s="49">
        <v>1993</v>
      </c>
      <c r="B663" s="330" t="s">
        <v>20</v>
      </c>
      <c r="C663" s="331">
        <v>27905797109</v>
      </c>
      <c r="D663" s="331">
        <v>10668509981</v>
      </c>
      <c r="E663" s="331">
        <v>196947563</v>
      </c>
      <c r="F663" s="331">
        <v>157766</v>
      </c>
      <c r="G663" s="332">
        <f t="shared" si="20"/>
        <v>5.6535206424588499E-6</v>
      </c>
      <c r="H663" s="331">
        <v>689382</v>
      </c>
      <c r="I663" s="331">
        <v>0</v>
      </c>
      <c r="J663" s="331">
        <f t="shared" si="21"/>
        <v>689382</v>
      </c>
      <c r="K663" s="199">
        <v>1.85</v>
      </c>
      <c r="L663" s="199">
        <v>2.73</v>
      </c>
    </row>
    <row r="664" spans="1:12" ht="15" customHeight="1" x14ac:dyDescent="0.25">
      <c r="A664" s="49">
        <v>1994</v>
      </c>
      <c r="B664" s="330" t="s">
        <v>20</v>
      </c>
      <c r="C664" s="331">
        <v>29796493680</v>
      </c>
      <c r="D664" s="331">
        <v>11264273758</v>
      </c>
      <c r="E664" s="331">
        <v>209011433</v>
      </c>
      <c r="F664" s="331">
        <v>145609</v>
      </c>
      <c r="G664" s="332">
        <f t="shared" si="20"/>
        <v>4.8867830411111648E-6</v>
      </c>
      <c r="H664" s="331">
        <v>868819</v>
      </c>
      <c r="I664" s="331">
        <v>0</v>
      </c>
      <c r="J664" s="331">
        <f t="shared" si="21"/>
        <v>868819</v>
      </c>
      <c r="K664" s="199">
        <v>1.86</v>
      </c>
      <c r="L664" s="199">
        <v>2.73</v>
      </c>
    </row>
    <row r="665" spans="1:12" ht="15" customHeight="1" x14ac:dyDescent="0.25">
      <c r="A665" s="49">
        <v>1995</v>
      </c>
      <c r="B665" s="330" t="s">
        <v>20</v>
      </c>
      <c r="C665" s="331">
        <v>31890658767</v>
      </c>
      <c r="D665" s="331">
        <v>11802342501</v>
      </c>
      <c r="E665" s="331">
        <v>204329358</v>
      </c>
      <c r="F665" s="331">
        <v>138302</v>
      </c>
      <c r="G665" s="332">
        <f t="shared" si="20"/>
        <v>4.3367558196418617E-6</v>
      </c>
      <c r="H665" s="331">
        <v>1003378</v>
      </c>
      <c r="I665" s="331">
        <v>0</v>
      </c>
      <c r="J665" s="331">
        <f t="shared" si="21"/>
        <v>1003378</v>
      </c>
      <c r="K665" s="199">
        <v>1.73</v>
      </c>
      <c r="L665" s="199">
        <v>2.73</v>
      </c>
    </row>
    <row r="666" spans="1:12" x14ac:dyDescent="0.25">
      <c r="A666" s="49">
        <v>1996</v>
      </c>
      <c r="B666" s="330" t="s">
        <v>20</v>
      </c>
      <c r="C666" s="331">
        <v>33781414472</v>
      </c>
      <c r="D666" s="331">
        <v>11464726752</v>
      </c>
      <c r="E666" s="331">
        <v>193963215</v>
      </c>
      <c r="F666" s="331">
        <v>142700</v>
      </c>
      <c r="G666" s="332">
        <f t="shared" si="20"/>
        <v>4.224216251166098E-6</v>
      </c>
      <c r="H666" s="331">
        <v>1131152</v>
      </c>
      <c r="I666" s="331">
        <v>0</v>
      </c>
      <c r="J666" s="331">
        <f t="shared" si="21"/>
        <v>1131152</v>
      </c>
      <c r="K666" s="199">
        <v>1.69</v>
      </c>
      <c r="L666" s="199">
        <v>2.73</v>
      </c>
    </row>
    <row r="667" spans="1:12" ht="15" customHeight="1" x14ac:dyDescent="0.25">
      <c r="A667" s="49">
        <v>1997</v>
      </c>
      <c r="B667" s="330" t="s">
        <v>20</v>
      </c>
      <c r="C667" s="331">
        <v>36397532710</v>
      </c>
      <c r="D667" s="331">
        <v>12033931900</v>
      </c>
      <c r="E667" s="331">
        <v>198221160</v>
      </c>
      <c r="F667" s="331">
        <v>139398</v>
      </c>
      <c r="G667" s="332">
        <f t="shared" si="20"/>
        <v>3.8298749838529918E-6</v>
      </c>
      <c r="H667" s="331">
        <v>1275668</v>
      </c>
      <c r="I667" s="331">
        <v>0</v>
      </c>
      <c r="J667" s="331">
        <f t="shared" si="21"/>
        <v>1275668</v>
      </c>
      <c r="K667" s="199">
        <v>1.65</v>
      </c>
      <c r="L667" s="199">
        <v>2.73</v>
      </c>
    </row>
    <row r="668" spans="1:12" ht="15" customHeight="1" x14ac:dyDescent="0.25">
      <c r="A668" s="49">
        <v>1998</v>
      </c>
      <c r="B668" s="330" t="s">
        <v>20</v>
      </c>
      <c r="C668" s="331">
        <v>39006304786</v>
      </c>
      <c r="D668" s="331">
        <v>11708574281</v>
      </c>
      <c r="E668" s="331">
        <v>188405583</v>
      </c>
      <c r="F668" s="331">
        <v>142279</v>
      </c>
      <c r="G668" s="332">
        <f t="shared" si="20"/>
        <v>3.6475898135079502E-6</v>
      </c>
      <c r="H668" s="331">
        <v>1402085</v>
      </c>
      <c r="I668" s="331">
        <v>0</v>
      </c>
      <c r="J668" s="331">
        <f t="shared" si="21"/>
        <v>1402085</v>
      </c>
      <c r="K668" s="199">
        <v>1.61</v>
      </c>
      <c r="L668" s="199">
        <v>2.73</v>
      </c>
    </row>
    <row r="669" spans="1:12" ht="15" customHeight="1" x14ac:dyDescent="0.25">
      <c r="A669" s="49">
        <v>1999</v>
      </c>
      <c r="B669" s="330" t="s">
        <v>20</v>
      </c>
      <c r="C669" s="331">
        <v>39445711209</v>
      </c>
      <c r="D669" s="331">
        <v>11688621117</v>
      </c>
      <c r="E669" s="331">
        <v>171353472</v>
      </c>
      <c r="F669" s="331">
        <v>182970</v>
      </c>
      <c r="G669" s="332">
        <f t="shared" si="20"/>
        <v>4.6385270893088435E-6</v>
      </c>
      <c r="H669" s="331">
        <v>1479393</v>
      </c>
      <c r="I669" s="331">
        <v>0</v>
      </c>
      <c r="J669" s="331">
        <f t="shared" si="21"/>
        <v>1479393</v>
      </c>
      <c r="K669" s="199">
        <v>1.47</v>
      </c>
      <c r="L669" s="199">
        <v>2.73</v>
      </c>
    </row>
    <row r="670" spans="1:12" ht="15" customHeight="1" x14ac:dyDescent="0.25">
      <c r="A670" s="49">
        <v>2000</v>
      </c>
      <c r="B670" s="330" t="s">
        <v>20</v>
      </c>
      <c r="C670" s="331">
        <v>40771782099</v>
      </c>
      <c r="D670" s="331">
        <v>11802035599</v>
      </c>
      <c r="E670" s="331">
        <v>156503985</v>
      </c>
      <c r="F670" s="331">
        <v>174433</v>
      </c>
      <c r="G670" s="332">
        <f t="shared" si="20"/>
        <v>4.2782775493219928E-6</v>
      </c>
      <c r="H670" s="331">
        <v>1511999</v>
      </c>
      <c r="I670" s="331">
        <v>0</v>
      </c>
      <c r="J670" s="331">
        <f t="shared" si="21"/>
        <v>1511999</v>
      </c>
      <c r="K670" s="199">
        <v>1.33</v>
      </c>
      <c r="L670" s="199">
        <v>2.73</v>
      </c>
    </row>
    <row r="671" spans="1:12" ht="15" customHeight="1" x14ac:dyDescent="0.25">
      <c r="A671" s="49">
        <v>2001</v>
      </c>
      <c r="B671" s="330" t="s">
        <v>20</v>
      </c>
      <c r="C671" s="331">
        <v>42597016677</v>
      </c>
      <c r="D671" s="331">
        <v>11779671791</v>
      </c>
      <c r="E671" s="331">
        <v>178851233</v>
      </c>
      <c r="F671" s="331">
        <v>220452</v>
      </c>
      <c r="G671" s="332">
        <f t="shared" si="20"/>
        <v>5.1752920086310108E-6</v>
      </c>
      <c r="H671" s="331">
        <v>1508923</v>
      </c>
      <c r="I671" s="331">
        <v>0</v>
      </c>
      <c r="J671" s="331">
        <f t="shared" si="21"/>
        <v>1508923</v>
      </c>
      <c r="K671" s="199">
        <v>1.52</v>
      </c>
      <c r="L671" s="199">
        <v>2.73</v>
      </c>
    </row>
    <row r="672" spans="1:12" ht="15" customHeight="1" x14ac:dyDescent="0.25">
      <c r="A672" s="49">
        <v>2002</v>
      </c>
      <c r="B672" s="330" t="s">
        <v>20</v>
      </c>
      <c r="C672" s="331">
        <v>42936964275</v>
      </c>
      <c r="D672" s="331">
        <v>11538058548</v>
      </c>
      <c r="E672" s="331">
        <v>183098874</v>
      </c>
      <c r="F672" s="331">
        <v>290129</v>
      </c>
      <c r="G672" s="332">
        <f t="shared" si="20"/>
        <v>6.7570915852783583E-6</v>
      </c>
      <c r="H672" s="331">
        <v>1544883</v>
      </c>
      <c r="I672" s="331">
        <v>0</v>
      </c>
      <c r="J672" s="331">
        <f t="shared" si="21"/>
        <v>1544883</v>
      </c>
      <c r="K672" s="199">
        <v>1.59</v>
      </c>
      <c r="L672" s="199">
        <v>2.73</v>
      </c>
    </row>
    <row r="673" spans="1:12" ht="15" customHeight="1" x14ac:dyDescent="0.25">
      <c r="A673" s="49">
        <v>2003</v>
      </c>
      <c r="B673" s="330" t="s">
        <v>20</v>
      </c>
      <c r="C673" s="331">
        <v>43839296420</v>
      </c>
      <c r="D673" s="331">
        <v>11517799973</v>
      </c>
      <c r="E673" s="331">
        <v>193825929</v>
      </c>
      <c r="F673" s="331">
        <v>281154</v>
      </c>
      <c r="G673" s="332">
        <f t="shared" si="20"/>
        <v>6.4132872322224193E-6</v>
      </c>
      <c r="H673" s="331">
        <v>1491196</v>
      </c>
      <c r="I673" s="331">
        <v>0</v>
      </c>
      <c r="J673" s="331">
        <f t="shared" si="21"/>
        <v>1491196</v>
      </c>
      <c r="K673" s="199">
        <v>1.68</v>
      </c>
      <c r="L673" s="199">
        <v>2.73</v>
      </c>
    </row>
    <row r="674" spans="1:12" ht="15" customHeight="1" x14ac:dyDescent="0.25">
      <c r="A674" s="49">
        <v>2004</v>
      </c>
      <c r="B674" s="330" t="s">
        <v>20</v>
      </c>
      <c r="C674" s="331">
        <v>45493710779</v>
      </c>
      <c r="D674" s="331">
        <v>11683649447</v>
      </c>
      <c r="E674" s="331">
        <v>205893072</v>
      </c>
      <c r="F674" s="331">
        <v>274696</v>
      </c>
      <c r="G674" s="332">
        <f t="shared" si="20"/>
        <v>6.0381093407487062E-6</v>
      </c>
      <c r="H674" s="331">
        <v>1460186</v>
      </c>
      <c r="I674" s="331">
        <v>0</v>
      </c>
      <c r="J674" s="331">
        <f t="shared" si="21"/>
        <v>1460186</v>
      </c>
      <c r="K674" s="199">
        <v>1.76</v>
      </c>
      <c r="L674" s="199">
        <v>2.73</v>
      </c>
    </row>
    <row r="675" spans="1:12" ht="15" customHeight="1" x14ac:dyDescent="0.25">
      <c r="A675" s="49">
        <v>2005</v>
      </c>
      <c r="B675" s="330" t="s">
        <v>20</v>
      </c>
      <c r="C675" s="331">
        <v>47587654510</v>
      </c>
      <c r="D675" s="331">
        <v>12105261801</v>
      </c>
      <c r="E675" s="331">
        <v>181292540</v>
      </c>
      <c r="F675" s="331">
        <v>582857</v>
      </c>
      <c r="G675" s="332">
        <f t="shared" si="20"/>
        <v>1.2248071605998553E-5</v>
      </c>
      <c r="H675" s="331">
        <v>1428356</v>
      </c>
      <c r="I675" s="331">
        <v>0</v>
      </c>
      <c r="J675" s="331">
        <f t="shared" si="21"/>
        <v>1428356</v>
      </c>
      <c r="K675" s="199">
        <v>1.5</v>
      </c>
      <c r="L675" s="199">
        <v>2.73</v>
      </c>
    </row>
    <row r="676" spans="1:12" ht="15" customHeight="1" x14ac:dyDescent="0.25">
      <c r="A676" s="49">
        <v>2006</v>
      </c>
      <c r="B676" s="330" t="s">
        <v>20</v>
      </c>
      <c r="C676" s="331">
        <v>52193756402</v>
      </c>
      <c r="D676" s="331">
        <v>12413665680</v>
      </c>
      <c r="E676" s="331">
        <v>186290587</v>
      </c>
      <c r="F676" s="331">
        <v>253515</v>
      </c>
      <c r="G676" s="332">
        <f t="shared" si="20"/>
        <v>4.8571901598231316E-6</v>
      </c>
      <c r="H676" s="331">
        <v>1371468</v>
      </c>
      <c r="I676" s="331">
        <v>0</v>
      </c>
      <c r="J676" s="331">
        <f t="shared" si="21"/>
        <v>1371468</v>
      </c>
      <c r="K676" s="199">
        <v>1.5</v>
      </c>
      <c r="L676" s="199">
        <v>2.73</v>
      </c>
    </row>
    <row r="677" spans="1:12" ht="15" customHeight="1" x14ac:dyDescent="0.25">
      <c r="A677" s="49">
        <v>2007</v>
      </c>
      <c r="B677" s="330" t="s">
        <v>20</v>
      </c>
      <c r="C677" s="331">
        <v>56411018100</v>
      </c>
      <c r="D677" s="331">
        <v>12930004014</v>
      </c>
      <c r="E677" s="331">
        <v>183637508</v>
      </c>
      <c r="F677" s="331">
        <v>166812</v>
      </c>
      <c r="G677" s="332">
        <f t="shared" si="20"/>
        <v>2.9570818896459519E-6</v>
      </c>
      <c r="H677" s="331">
        <v>1444768</v>
      </c>
      <c r="I677" s="331">
        <v>0</v>
      </c>
      <c r="J677" s="331">
        <f t="shared" si="21"/>
        <v>1444768</v>
      </c>
      <c r="K677" s="199">
        <v>1.42</v>
      </c>
      <c r="L677" s="199">
        <v>2.73</v>
      </c>
    </row>
    <row r="678" spans="1:12" ht="15" customHeight="1" x14ac:dyDescent="0.25">
      <c r="A678" s="49">
        <v>2008</v>
      </c>
      <c r="B678" s="330" t="s">
        <v>20</v>
      </c>
      <c r="C678" s="331">
        <v>59797723275</v>
      </c>
      <c r="D678" s="331">
        <v>13071249824</v>
      </c>
      <c r="E678" s="331">
        <v>184864812</v>
      </c>
      <c r="F678" s="331">
        <v>211946</v>
      </c>
      <c r="G678" s="332">
        <f t="shared" si="20"/>
        <v>3.5443824345166926E-6</v>
      </c>
      <c r="H678" s="331">
        <v>1460753</v>
      </c>
      <c r="I678" s="331">
        <v>0</v>
      </c>
      <c r="J678" s="331">
        <f t="shared" si="21"/>
        <v>1460753</v>
      </c>
      <c r="K678" s="199">
        <v>1.4</v>
      </c>
      <c r="L678" s="199">
        <v>2.73</v>
      </c>
    </row>
    <row r="679" spans="1:12" ht="15" customHeight="1" x14ac:dyDescent="0.25">
      <c r="A679" s="49">
        <v>2009</v>
      </c>
      <c r="B679" s="330" t="s">
        <v>20</v>
      </c>
      <c r="C679" s="331">
        <v>57850957303</v>
      </c>
      <c r="D679" s="331">
        <v>12492801551</v>
      </c>
      <c r="E679" s="331">
        <v>174055826</v>
      </c>
      <c r="F679" s="331">
        <v>428520</v>
      </c>
      <c r="G679" s="332">
        <f t="shared" si="20"/>
        <v>7.4073104400949659E-6</v>
      </c>
      <c r="H679" s="331">
        <v>1144195</v>
      </c>
      <c r="I679" s="331">
        <v>0</v>
      </c>
      <c r="J679" s="331">
        <f t="shared" si="21"/>
        <v>1144195</v>
      </c>
      <c r="K679" s="199">
        <v>1.4</v>
      </c>
      <c r="L679" s="199">
        <v>0.96</v>
      </c>
    </row>
    <row r="680" spans="1:12" ht="15" customHeight="1" x14ac:dyDescent="0.25">
      <c r="A680" s="49">
        <v>2010</v>
      </c>
      <c r="B680" s="330" t="s">
        <v>20</v>
      </c>
      <c r="C680" s="331">
        <v>58492945217</v>
      </c>
      <c r="D680" s="331">
        <v>13434174981</v>
      </c>
      <c r="E680" s="331">
        <v>218058565</v>
      </c>
      <c r="F680" s="331">
        <v>332669</v>
      </c>
      <c r="G680" s="332">
        <f t="shared" si="20"/>
        <v>5.6873354344844192E-6</v>
      </c>
      <c r="H680" s="331">
        <v>895643</v>
      </c>
      <c r="I680" s="331">
        <v>0</v>
      </c>
      <c r="J680" s="331">
        <f t="shared" si="21"/>
        <v>895643</v>
      </c>
      <c r="K680" s="199">
        <v>1.6</v>
      </c>
      <c r="L680" s="199">
        <v>0.98</v>
      </c>
    </row>
    <row r="681" spans="1:12" ht="15" customHeight="1" x14ac:dyDescent="0.25">
      <c r="A681" s="49">
        <v>2011</v>
      </c>
      <c r="B681" s="330" t="s">
        <v>20</v>
      </c>
      <c r="C681" s="331">
        <v>61064266321</v>
      </c>
      <c r="D681" s="331">
        <v>13626312675</v>
      </c>
      <c r="E681" s="331">
        <v>259892240</v>
      </c>
      <c r="F681" s="331">
        <v>360812</v>
      </c>
      <c r="G681" s="332">
        <f t="shared" si="20"/>
        <v>5.9087257038887371E-6</v>
      </c>
      <c r="H681" s="331">
        <v>790309</v>
      </c>
      <c r="I681" s="331">
        <v>0</v>
      </c>
      <c r="J681" s="331">
        <f t="shared" si="21"/>
        <v>790309</v>
      </c>
      <c r="K681" s="199">
        <v>1.9</v>
      </c>
      <c r="L681" s="199">
        <v>0.98</v>
      </c>
    </row>
    <row r="682" spans="1:12" ht="15" customHeight="1" x14ac:dyDescent="0.25">
      <c r="A682" s="49">
        <v>2012</v>
      </c>
      <c r="B682" s="330" t="s">
        <v>20</v>
      </c>
      <c r="C682" s="331">
        <v>63856334636</v>
      </c>
      <c r="D682" s="331">
        <v>14131741520</v>
      </c>
      <c r="E682" s="331">
        <v>249324422</v>
      </c>
      <c r="F682" s="331">
        <v>269412</v>
      </c>
      <c r="G682" s="332">
        <f t="shared" si="20"/>
        <v>4.2190332648393945E-6</v>
      </c>
      <c r="H682" s="331">
        <v>756454</v>
      </c>
      <c r="I682" s="331">
        <v>0</v>
      </c>
      <c r="J682" s="331">
        <f t="shared" si="21"/>
        <v>756454</v>
      </c>
      <c r="K682" s="199">
        <v>1.76</v>
      </c>
      <c r="L682" s="199">
        <v>0.98</v>
      </c>
    </row>
    <row r="683" spans="1:12" ht="15" customHeight="1" x14ac:dyDescent="0.25">
      <c r="A683" s="49">
        <v>2013</v>
      </c>
      <c r="B683" s="330" t="s">
        <v>20</v>
      </c>
      <c r="C683" s="331">
        <v>66488503429</v>
      </c>
      <c r="D683" s="331">
        <v>14445411700</v>
      </c>
      <c r="E683" s="331">
        <v>267816467</v>
      </c>
      <c r="F683" s="331">
        <v>194776</v>
      </c>
      <c r="G683" s="332">
        <f t="shared" si="20"/>
        <v>2.9294688548373221E-6</v>
      </c>
      <c r="H683" s="331">
        <v>815975</v>
      </c>
      <c r="I683" s="331">
        <v>0</v>
      </c>
      <c r="J683" s="331">
        <f t="shared" si="21"/>
        <v>815975</v>
      </c>
      <c r="K683" s="199">
        <v>1.85</v>
      </c>
      <c r="L683" s="199">
        <v>0.98</v>
      </c>
    </row>
    <row r="684" spans="1:12" ht="15" customHeight="1" x14ac:dyDescent="0.25">
      <c r="A684" s="49">
        <v>2014</v>
      </c>
      <c r="B684" s="330" t="s">
        <v>20</v>
      </c>
      <c r="C684" s="331">
        <v>70164138397</v>
      </c>
      <c r="D684" s="331">
        <v>14783446749</v>
      </c>
      <c r="E684" s="331">
        <v>247856202</v>
      </c>
      <c r="F684" s="331">
        <v>175465</v>
      </c>
      <c r="G684" s="332">
        <f t="shared" si="20"/>
        <v>2.5007789450387141E-6</v>
      </c>
      <c r="H684" s="331">
        <v>885899</v>
      </c>
      <c r="I684" s="331">
        <v>0</v>
      </c>
      <c r="J684" s="331">
        <f t="shared" si="21"/>
        <v>885899</v>
      </c>
      <c r="K684" s="333">
        <v>1.676579259277041</v>
      </c>
      <c r="L684" s="199">
        <v>0.98</v>
      </c>
    </row>
    <row r="685" spans="1:12" ht="15" customHeight="1" x14ac:dyDescent="0.25">
      <c r="A685" s="49">
        <v>2015</v>
      </c>
      <c r="B685" s="330" t="s">
        <v>20</v>
      </c>
      <c r="C685" s="334">
        <v>71164889000</v>
      </c>
      <c r="D685" s="334">
        <v>14900988000</v>
      </c>
      <c r="E685" s="334">
        <v>218824000</v>
      </c>
      <c r="F685" s="331">
        <v>223203</v>
      </c>
      <c r="G685" s="332">
        <f t="shared" si="20"/>
        <v>3.136420264774108E-6</v>
      </c>
      <c r="H685" s="331">
        <v>904485</v>
      </c>
      <c r="I685" s="199">
        <v>0</v>
      </c>
      <c r="J685" s="331">
        <f t="shared" si="21"/>
        <v>904485</v>
      </c>
      <c r="K685" s="199">
        <v>1.6</v>
      </c>
      <c r="L685" s="199">
        <v>1.06</v>
      </c>
    </row>
    <row r="686" spans="1:12" ht="15" customHeight="1" x14ac:dyDescent="0.25">
      <c r="A686" s="49">
        <v>1980</v>
      </c>
      <c r="B686" s="330" t="s">
        <v>21</v>
      </c>
      <c r="C686" s="331">
        <v>28707349701</v>
      </c>
      <c r="D686" s="331">
        <v>13144460654</v>
      </c>
      <c r="E686" s="331">
        <v>433213086</v>
      </c>
      <c r="F686" s="331">
        <v>315789</v>
      </c>
      <c r="G686" s="332">
        <f t="shared" si="20"/>
        <v>1.1000284013992407E-5</v>
      </c>
      <c r="H686" s="331">
        <v>257153</v>
      </c>
      <c r="I686" s="331">
        <v>0</v>
      </c>
      <c r="J686" s="331">
        <f t="shared" si="21"/>
        <v>257153</v>
      </c>
      <c r="K686" s="199">
        <v>3.3</v>
      </c>
      <c r="L686" s="199">
        <v>2.4900000000000002</v>
      </c>
    </row>
    <row r="687" spans="1:12" ht="15" customHeight="1" x14ac:dyDescent="0.25">
      <c r="A687" s="49">
        <v>1981</v>
      </c>
      <c r="B687" s="330" t="s">
        <v>21</v>
      </c>
      <c r="C687" s="331">
        <v>32291003969</v>
      </c>
      <c r="D687" s="331">
        <v>14316455639</v>
      </c>
      <c r="E687" s="331">
        <v>470883705</v>
      </c>
      <c r="F687" s="331">
        <v>344912</v>
      </c>
      <c r="G687" s="332">
        <f t="shared" si="20"/>
        <v>1.0681365012098178E-5</v>
      </c>
      <c r="H687" s="331">
        <v>412161</v>
      </c>
      <c r="I687" s="331">
        <v>0</v>
      </c>
      <c r="J687" s="331">
        <f t="shared" si="21"/>
        <v>412161</v>
      </c>
      <c r="K687" s="199">
        <v>3.29</v>
      </c>
      <c r="L687" s="199">
        <v>2.4900000000000002</v>
      </c>
    </row>
    <row r="688" spans="1:12" ht="15" customHeight="1" x14ac:dyDescent="0.25">
      <c r="A688" s="49">
        <v>1982</v>
      </c>
      <c r="B688" s="330" t="s">
        <v>21</v>
      </c>
      <c r="C688" s="331">
        <v>34687648915</v>
      </c>
      <c r="D688" s="331">
        <v>14474364584</v>
      </c>
      <c r="E688" s="331">
        <v>466712548</v>
      </c>
      <c r="F688" s="331">
        <v>492139</v>
      </c>
      <c r="G688" s="332">
        <f t="shared" si="20"/>
        <v>1.418773008242666E-5</v>
      </c>
      <c r="H688" s="331">
        <v>436344</v>
      </c>
      <c r="I688" s="331">
        <v>0</v>
      </c>
      <c r="J688" s="331">
        <f t="shared" si="21"/>
        <v>436344</v>
      </c>
      <c r="K688" s="199">
        <v>3.22</v>
      </c>
      <c r="L688" s="199">
        <v>2.4900000000000002</v>
      </c>
    </row>
    <row r="689" spans="1:12" ht="15" customHeight="1" x14ac:dyDescent="0.25">
      <c r="A689" s="49">
        <v>1983</v>
      </c>
      <c r="B689" s="330" t="s">
        <v>21</v>
      </c>
      <c r="C689" s="331">
        <v>37270328861</v>
      </c>
      <c r="D689" s="331">
        <v>16098848553</v>
      </c>
      <c r="E689" s="331">
        <v>499706593</v>
      </c>
      <c r="F689" s="331">
        <v>429392</v>
      </c>
      <c r="G689" s="332">
        <f t="shared" si="20"/>
        <v>1.1521014520730982E-5</v>
      </c>
      <c r="H689" s="331">
        <v>532258</v>
      </c>
      <c r="I689" s="331">
        <v>0</v>
      </c>
      <c r="J689" s="331">
        <f t="shared" si="21"/>
        <v>532258</v>
      </c>
      <c r="K689" s="199">
        <v>3.1</v>
      </c>
      <c r="L689" s="199">
        <v>2.4900000000000002</v>
      </c>
    </row>
    <row r="690" spans="1:12" ht="15" customHeight="1" x14ac:dyDescent="0.25">
      <c r="A690" s="49">
        <v>1984</v>
      </c>
      <c r="B690" s="330" t="s">
        <v>21</v>
      </c>
      <c r="C690" s="331">
        <v>42209538202</v>
      </c>
      <c r="D690" s="331">
        <v>17477584162</v>
      </c>
      <c r="E690" s="331">
        <v>520234946</v>
      </c>
      <c r="F690" s="331">
        <v>338637</v>
      </c>
      <c r="G690" s="332">
        <f t="shared" si="20"/>
        <v>8.0227601254342676E-6</v>
      </c>
      <c r="H690" s="331">
        <v>782005</v>
      </c>
      <c r="I690" s="331">
        <v>0</v>
      </c>
      <c r="J690" s="331">
        <f t="shared" si="21"/>
        <v>782005</v>
      </c>
      <c r="K690" s="199">
        <v>2.98</v>
      </c>
      <c r="L690" s="199">
        <v>2.4900000000000002</v>
      </c>
    </row>
    <row r="691" spans="1:12" ht="15" customHeight="1" x14ac:dyDescent="0.25">
      <c r="A691" s="49">
        <v>1985</v>
      </c>
      <c r="B691" s="330" t="s">
        <v>21</v>
      </c>
      <c r="C691" s="331">
        <v>46257929887</v>
      </c>
      <c r="D691" s="331">
        <v>18444573178</v>
      </c>
      <c r="E691" s="331">
        <v>480300969</v>
      </c>
      <c r="F691" s="331">
        <v>402035</v>
      </c>
      <c r="G691" s="332">
        <f t="shared" si="20"/>
        <v>8.6911584885467395E-6</v>
      </c>
      <c r="H691" s="331">
        <v>930019</v>
      </c>
      <c r="I691" s="331">
        <v>0</v>
      </c>
      <c r="J691" s="331">
        <f t="shared" si="21"/>
        <v>930019</v>
      </c>
      <c r="K691" s="199">
        <v>2.6</v>
      </c>
      <c r="L691" s="199">
        <v>2.4900000000000002</v>
      </c>
    </row>
    <row r="692" spans="1:12" ht="15" customHeight="1" x14ac:dyDescent="0.25">
      <c r="A692" s="49">
        <v>1986</v>
      </c>
      <c r="B692" s="330" t="s">
        <v>21</v>
      </c>
      <c r="C692" s="331">
        <v>50500875870</v>
      </c>
      <c r="D692" s="331">
        <v>19460875178</v>
      </c>
      <c r="E692" s="331">
        <v>403665017</v>
      </c>
      <c r="F692" s="331">
        <v>448110</v>
      </c>
      <c r="G692" s="332">
        <f t="shared" si="20"/>
        <v>8.8733114481723139E-6</v>
      </c>
      <c r="H692" s="331">
        <v>990114</v>
      </c>
      <c r="I692" s="331">
        <v>0</v>
      </c>
      <c r="J692" s="331">
        <f t="shared" si="21"/>
        <v>990114</v>
      </c>
      <c r="K692" s="199">
        <v>2.0699999999999998</v>
      </c>
      <c r="L692" s="199">
        <v>2.4900000000000002</v>
      </c>
    </row>
    <row r="693" spans="1:12" ht="15" customHeight="1" x14ac:dyDescent="0.25">
      <c r="A693" s="49">
        <v>1987</v>
      </c>
      <c r="B693" s="330" t="s">
        <v>21</v>
      </c>
      <c r="C693" s="331">
        <v>55897255610</v>
      </c>
      <c r="D693" s="331">
        <v>20614539679</v>
      </c>
      <c r="E693" s="331">
        <v>423426211</v>
      </c>
      <c r="F693" s="331">
        <v>404428</v>
      </c>
      <c r="G693" s="332">
        <f t="shared" si="20"/>
        <v>7.2352031524003469E-6</v>
      </c>
      <c r="H693" s="331">
        <v>1096985</v>
      </c>
      <c r="I693" s="331">
        <v>0</v>
      </c>
      <c r="J693" s="331">
        <f t="shared" si="21"/>
        <v>1096985</v>
      </c>
      <c r="K693" s="199">
        <v>2.0499999999999998</v>
      </c>
      <c r="L693" s="199">
        <v>2.4900000000000002</v>
      </c>
    </row>
    <row r="694" spans="1:12" ht="15" customHeight="1" x14ac:dyDescent="0.25">
      <c r="A694" s="49">
        <v>1988</v>
      </c>
      <c r="B694" s="330" t="s">
        <v>21</v>
      </c>
      <c r="C694" s="331">
        <v>61561999986</v>
      </c>
      <c r="D694" s="331">
        <v>21634157765</v>
      </c>
      <c r="E694" s="331">
        <v>445178417</v>
      </c>
      <c r="F694" s="331">
        <v>505844</v>
      </c>
      <c r="G694" s="332">
        <f t="shared" si="20"/>
        <v>8.2168220674285364E-6</v>
      </c>
      <c r="H694" s="331">
        <v>1132897</v>
      </c>
      <c r="I694" s="331">
        <v>0</v>
      </c>
      <c r="J694" s="331">
        <f t="shared" si="21"/>
        <v>1132897</v>
      </c>
      <c r="K694" s="199">
        <v>2.06</v>
      </c>
      <c r="L694" s="199">
        <v>2.4900000000000002</v>
      </c>
    </row>
    <row r="695" spans="1:12" ht="15" customHeight="1" x14ac:dyDescent="0.25">
      <c r="A695" s="49">
        <v>1989</v>
      </c>
      <c r="B695" s="330" t="s">
        <v>21</v>
      </c>
      <c r="C695" s="331">
        <v>63202719318</v>
      </c>
      <c r="D695" s="331">
        <v>21584029031</v>
      </c>
      <c r="E695" s="331">
        <v>466449281</v>
      </c>
      <c r="F695" s="331">
        <v>783672</v>
      </c>
      <c r="G695" s="332">
        <f t="shared" si="20"/>
        <v>1.2399339909047424E-5</v>
      </c>
      <c r="H695" s="331">
        <v>908928</v>
      </c>
      <c r="I695" s="331">
        <v>0</v>
      </c>
      <c r="J695" s="331">
        <f t="shared" si="21"/>
        <v>908928</v>
      </c>
      <c r="K695" s="199">
        <v>2.16</v>
      </c>
      <c r="L695" s="199">
        <v>2.4900000000000002</v>
      </c>
    </row>
    <row r="696" spans="1:12" ht="15" customHeight="1" x14ac:dyDescent="0.25">
      <c r="A696" s="49">
        <v>1990</v>
      </c>
      <c r="B696" s="330" t="s">
        <v>21</v>
      </c>
      <c r="C696" s="331">
        <v>63488853643</v>
      </c>
      <c r="D696" s="331">
        <v>20598913666</v>
      </c>
      <c r="E696" s="331">
        <v>510741454</v>
      </c>
      <c r="F696" s="331">
        <v>1090630</v>
      </c>
      <c r="G696" s="332">
        <f t="shared" si="20"/>
        <v>1.7178290950607642E-5</v>
      </c>
      <c r="H696" s="331">
        <v>381795</v>
      </c>
      <c r="I696" s="331">
        <v>0</v>
      </c>
      <c r="J696" s="331">
        <f t="shared" si="21"/>
        <v>381795</v>
      </c>
      <c r="K696" s="199">
        <v>2.48</v>
      </c>
      <c r="L696" s="199">
        <v>2.4900000000000002</v>
      </c>
    </row>
    <row r="697" spans="1:12" ht="15" customHeight="1" x14ac:dyDescent="0.25">
      <c r="A697" s="49">
        <v>1991</v>
      </c>
      <c r="B697" s="330" t="s">
        <v>21</v>
      </c>
      <c r="C697" s="331">
        <v>62041370673</v>
      </c>
      <c r="D697" s="331">
        <v>19288133892</v>
      </c>
      <c r="E697" s="331">
        <v>650947875</v>
      </c>
      <c r="F697" s="331">
        <v>1232369</v>
      </c>
      <c r="G697" s="332">
        <f t="shared" si="20"/>
        <v>1.9863664948594033E-5</v>
      </c>
      <c r="H697" s="331">
        <v>0</v>
      </c>
      <c r="I697" s="331">
        <v>234742</v>
      </c>
      <c r="J697" s="331">
        <f t="shared" si="21"/>
        <v>-234742</v>
      </c>
      <c r="K697" s="199">
        <v>3.37</v>
      </c>
      <c r="L697" s="199">
        <v>2.4500000000000002</v>
      </c>
    </row>
    <row r="698" spans="1:12" ht="15" customHeight="1" x14ac:dyDescent="0.25">
      <c r="A698" s="49">
        <v>1992</v>
      </c>
      <c r="B698" s="330" t="s">
        <v>21</v>
      </c>
      <c r="C698" s="331">
        <v>64965576642</v>
      </c>
      <c r="D698" s="331">
        <v>25741332788</v>
      </c>
      <c r="E698" s="331">
        <v>830833684</v>
      </c>
      <c r="F698" s="331">
        <v>969936</v>
      </c>
      <c r="G698" s="332">
        <f t="shared" si="20"/>
        <v>1.4929999087746726E-5</v>
      </c>
      <c r="H698" s="331">
        <v>0</v>
      </c>
      <c r="I698" s="331">
        <v>379918</v>
      </c>
      <c r="J698" s="331">
        <f t="shared" si="21"/>
        <v>-379918</v>
      </c>
      <c r="K698" s="199">
        <v>3.23</v>
      </c>
      <c r="L698" s="199">
        <v>2.4500000000000002</v>
      </c>
    </row>
    <row r="699" spans="1:12" ht="15" customHeight="1" x14ac:dyDescent="0.25">
      <c r="A699" s="49">
        <v>1993</v>
      </c>
      <c r="B699" s="330" t="s">
        <v>21</v>
      </c>
      <c r="C699" s="331">
        <v>66972922577</v>
      </c>
      <c r="D699" s="331">
        <v>26311560038</v>
      </c>
      <c r="E699" s="331">
        <v>1079660039</v>
      </c>
      <c r="F699" s="331">
        <v>761027</v>
      </c>
      <c r="G699" s="332">
        <f t="shared" si="20"/>
        <v>1.1363204272966187E-5</v>
      </c>
      <c r="H699" s="331">
        <v>0</v>
      </c>
      <c r="I699" s="331">
        <v>115987</v>
      </c>
      <c r="J699" s="331">
        <f t="shared" si="21"/>
        <v>-115987</v>
      </c>
      <c r="K699" s="199">
        <v>4.0999999999999996</v>
      </c>
      <c r="L699" s="199">
        <v>2.4500000000000002</v>
      </c>
    </row>
    <row r="700" spans="1:12" ht="15" customHeight="1" x14ac:dyDescent="0.25">
      <c r="A700" s="49">
        <v>1994</v>
      </c>
      <c r="B700" s="330" t="s">
        <v>21</v>
      </c>
      <c r="C700" s="331">
        <v>70336519372</v>
      </c>
      <c r="D700" s="331">
        <v>27195870756</v>
      </c>
      <c r="E700" s="331">
        <v>1073290267</v>
      </c>
      <c r="F700" s="331">
        <v>786759</v>
      </c>
      <c r="G700" s="332">
        <f t="shared" si="20"/>
        <v>1.1185640219683631E-5</v>
      </c>
      <c r="H700" s="331">
        <v>184933</v>
      </c>
      <c r="I700" s="331">
        <v>0</v>
      </c>
      <c r="J700" s="331">
        <f t="shared" si="21"/>
        <v>184933</v>
      </c>
      <c r="K700" s="199">
        <v>3.95</v>
      </c>
      <c r="L700" s="199">
        <v>2.4300000000000002</v>
      </c>
    </row>
    <row r="701" spans="1:12" x14ac:dyDescent="0.25">
      <c r="A701" s="49">
        <v>1995</v>
      </c>
      <c r="B701" s="330" t="s">
        <v>21</v>
      </c>
      <c r="C701" s="331">
        <v>75590958477</v>
      </c>
      <c r="D701" s="331">
        <v>28038339616</v>
      </c>
      <c r="E701" s="331">
        <v>1077766985</v>
      </c>
      <c r="F701" s="331">
        <v>731615</v>
      </c>
      <c r="G701" s="332">
        <f t="shared" si="20"/>
        <v>9.6786046207180698E-6</v>
      </c>
      <c r="H701" s="331">
        <v>527273</v>
      </c>
      <c r="I701" s="331">
        <v>0</v>
      </c>
      <c r="J701" s="331">
        <f t="shared" si="21"/>
        <v>527273</v>
      </c>
      <c r="K701" s="199">
        <v>3.84</v>
      </c>
      <c r="L701" s="199">
        <v>1.94</v>
      </c>
    </row>
    <row r="702" spans="1:12" ht="15" customHeight="1" x14ac:dyDescent="0.25">
      <c r="A702" s="49">
        <v>1996</v>
      </c>
      <c r="B702" s="330" t="s">
        <v>21</v>
      </c>
      <c r="C702" s="331">
        <v>81277902435</v>
      </c>
      <c r="D702" s="331">
        <v>29143908932</v>
      </c>
      <c r="E702" s="331">
        <v>1064199597</v>
      </c>
      <c r="F702" s="331">
        <v>719980</v>
      </c>
      <c r="G702" s="332">
        <f t="shared" si="20"/>
        <v>8.8582502553604447E-6</v>
      </c>
      <c r="H702" s="331">
        <v>914631</v>
      </c>
      <c r="I702" s="331">
        <v>0</v>
      </c>
      <c r="J702" s="331">
        <f t="shared" si="21"/>
        <v>914631</v>
      </c>
      <c r="K702" s="199">
        <v>3.65</v>
      </c>
      <c r="L702" s="199">
        <v>1.78</v>
      </c>
    </row>
    <row r="703" spans="1:12" ht="15" customHeight="1" x14ac:dyDescent="0.25">
      <c r="A703" s="49">
        <v>1997</v>
      </c>
      <c r="B703" s="330" t="s">
        <v>21</v>
      </c>
      <c r="C703" s="331">
        <v>88519344403</v>
      </c>
      <c r="D703" s="331">
        <v>30523021339</v>
      </c>
      <c r="E703" s="331">
        <v>1154491321</v>
      </c>
      <c r="F703" s="331">
        <v>686083</v>
      </c>
      <c r="G703" s="332">
        <f t="shared" si="20"/>
        <v>7.7506561376741059E-6</v>
      </c>
      <c r="H703" s="331">
        <v>1446164</v>
      </c>
      <c r="I703" s="331">
        <v>0</v>
      </c>
      <c r="J703" s="331">
        <f t="shared" si="21"/>
        <v>1446164</v>
      </c>
      <c r="K703" s="199">
        <v>3.78</v>
      </c>
      <c r="L703" s="199">
        <v>1.75</v>
      </c>
    </row>
    <row r="704" spans="1:12" ht="15" customHeight="1" x14ac:dyDescent="0.25">
      <c r="A704" s="49">
        <v>1998</v>
      </c>
      <c r="B704" s="330" t="s">
        <v>21</v>
      </c>
      <c r="C704" s="331">
        <v>96933984017</v>
      </c>
      <c r="D704" s="331">
        <v>31906552803</v>
      </c>
      <c r="E704" s="331">
        <v>910925637</v>
      </c>
      <c r="F704" s="331">
        <v>694415</v>
      </c>
      <c r="G704" s="332">
        <f t="shared" si="20"/>
        <v>7.1637930395826458E-6</v>
      </c>
      <c r="H704" s="331">
        <v>1802999</v>
      </c>
      <c r="I704" s="331">
        <v>0</v>
      </c>
      <c r="J704" s="331">
        <f t="shared" si="21"/>
        <v>1802999</v>
      </c>
      <c r="K704" s="199">
        <v>2.85</v>
      </c>
      <c r="L704" s="199">
        <v>1.75</v>
      </c>
    </row>
    <row r="705" spans="1:12" ht="15" customHeight="1" x14ac:dyDescent="0.25">
      <c r="A705" s="49">
        <v>1999</v>
      </c>
      <c r="B705" s="330" t="s">
        <v>21</v>
      </c>
      <c r="C705" s="331">
        <v>106278669891</v>
      </c>
      <c r="D705" s="331">
        <v>33039181751</v>
      </c>
      <c r="E705" s="331">
        <v>767253468</v>
      </c>
      <c r="F705" s="331">
        <v>776857</v>
      </c>
      <c r="G705" s="332">
        <f t="shared" si="20"/>
        <v>7.3096229073693611E-6</v>
      </c>
      <c r="H705" s="331">
        <v>1921621</v>
      </c>
      <c r="I705" s="331">
        <v>0</v>
      </c>
      <c r="J705" s="331">
        <f t="shared" si="21"/>
        <v>1921621</v>
      </c>
      <c r="K705" s="199">
        <v>2.3199999999999998</v>
      </c>
      <c r="L705" s="199">
        <v>1.75</v>
      </c>
    </row>
    <row r="706" spans="1:12" ht="15" customHeight="1" x14ac:dyDescent="0.25">
      <c r="A706" s="49">
        <v>2000</v>
      </c>
      <c r="B706" s="330" t="s">
        <v>21</v>
      </c>
      <c r="C706" s="331">
        <v>121029860915</v>
      </c>
      <c r="D706" s="331">
        <v>35016282253</v>
      </c>
      <c r="E706" s="331">
        <v>820936837</v>
      </c>
      <c r="F706" s="331">
        <v>745331</v>
      </c>
      <c r="G706" s="332">
        <f t="shared" ref="G706:G769" si="22">F706/C706</f>
        <v>6.1582405727413867E-6</v>
      </c>
      <c r="H706" s="331">
        <v>2131041</v>
      </c>
      <c r="I706" s="331">
        <v>0</v>
      </c>
      <c r="J706" s="331">
        <f t="shared" ref="J706:J769" si="23">H706-I706</f>
        <v>2131041</v>
      </c>
      <c r="K706" s="199">
        <v>2.34</v>
      </c>
      <c r="L706" s="199">
        <v>1.75</v>
      </c>
    </row>
    <row r="707" spans="1:12" ht="15" customHeight="1" x14ac:dyDescent="0.25">
      <c r="A707" s="49">
        <v>2001</v>
      </c>
      <c r="B707" s="330" t="s">
        <v>21</v>
      </c>
      <c r="C707" s="331">
        <v>121863471984</v>
      </c>
      <c r="D707" s="331">
        <v>35041424966</v>
      </c>
      <c r="E707" s="331">
        <v>804626499</v>
      </c>
      <c r="F707" s="331">
        <v>1319390</v>
      </c>
      <c r="G707" s="332">
        <f t="shared" si="22"/>
        <v>1.0826788196000427E-5</v>
      </c>
      <c r="H707" s="331">
        <v>1770487</v>
      </c>
      <c r="I707" s="331">
        <v>0</v>
      </c>
      <c r="J707" s="331">
        <f t="shared" si="23"/>
        <v>1770487</v>
      </c>
      <c r="K707" s="199">
        <v>2.2999999999999998</v>
      </c>
      <c r="L707" s="199">
        <v>1.75</v>
      </c>
    </row>
    <row r="708" spans="1:12" ht="15" customHeight="1" x14ac:dyDescent="0.25">
      <c r="A708" s="49">
        <v>2002</v>
      </c>
      <c r="B708" s="330" t="s">
        <v>21</v>
      </c>
      <c r="C708" s="331">
        <v>116794699876</v>
      </c>
      <c r="D708" s="331">
        <v>33723251685</v>
      </c>
      <c r="E708" s="331">
        <v>779194931</v>
      </c>
      <c r="F708" s="331">
        <v>1886573</v>
      </c>
      <c r="G708" s="332">
        <f t="shared" si="22"/>
        <v>1.6152899078493798E-5</v>
      </c>
      <c r="H708" s="331">
        <v>919995</v>
      </c>
      <c r="I708" s="331">
        <v>0</v>
      </c>
      <c r="J708" s="331">
        <f t="shared" si="23"/>
        <v>919995</v>
      </c>
      <c r="K708" s="199">
        <v>2.31</v>
      </c>
      <c r="L708" s="199">
        <v>1.79</v>
      </c>
    </row>
    <row r="709" spans="1:12" ht="15" customHeight="1" x14ac:dyDescent="0.25">
      <c r="A709" s="49">
        <v>2003</v>
      </c>
      <c r="B709" s="330" t="s">
        <v>21</v>
      </c>
      <c r="C709" s="331">
        <v>116684006159</v>
      </c>
      <c r="D709" s="331">
        <v>33111860145</v>
      </c>
      <c r="E709" s="331">
        <v>825728921</v>
      </c>
      <c r="F709" s="331">
        <v>1689460</v>
      </c>
      <c r="G709" s="332">
        <f t="shared" si="22"/>
        <v>1.4478933794044143E-5</v>
      </c>
      <c r="H709" s="331">
        <v>57975</v>
      </c>
      <c r="I709" s="331">
        <v>0</v>
      </c>
      <c r="J709" s="331">
        <f t="shared" si="23"/>
        <v>57975</v>
      </c>
      <c r="K709" s="199">
        <v>2.4900000000000002</v>
      </c>
      <c r="L709" s="199">
        <v>1.79</v>
      </c>
    </row>
    <row r="710" spans="1:12" ht="15" customHeight="1" x14ac:dyDescent="0.25">
      <c r="A710" s="49">
        <v>2004</v>
      </c>
      <c r="B710" s="330" t="s">
        <v>21</v>
      </c>
      <c r="C710" s="331">
        <v>123502754818</v>
      </c>
      <c r="D710" s="331">
        <v>39829988149</v>
      </c>
      <c r="E710" s="331">
        <v>1507056754</v>
      </c>
      <c r="F710" s="331">
        <v>1372966</v>
      </c>
      <c r="G710" s="332">
        <f t="shared" si="22"/>
        <v>1.1116885627557647E-5</v>
      </c>
      <c r="H710" s="331">
        <v>115863</v>
      </c>
      <c r="I710" s="331">
        <v>0</v>
      </c>
      <c r="J710" s="331">
        <f t="shared" si="23"/>
        <v>115863</v>
      </c>
      <c r="K710" s="199">
        <v>3.79</v>
      </c>
      <c r="L710" s="199">
        <v>1.79</v>
      </c>
    </row>
    <row r="711" spans="1:12" ht="15" customHeight="1" x14ac:dyDescent="0.25">
      <c r="A711" s="49">
        <v>2005</v>
      </c>
      <c r="B711" s="330" t="s">
        <v>21</v>
      </c>
      <c r="C711" s="331">
        <v>126813661013</v>
      </c>
      <c r="D711" s="331">
        <v>40323935546</v>
      </c>
      <c r="E711" s="331">
        <v>1641933996</v>
      </c>
      <c r="F711" s="331">
        <v>1223056</v>
      </c>
      <c r="G711" s="332">
        <f t="shared" si="22"/>
        <v>9.6445129825139377E-6</v>
      </c>
      <c r="H711" s="331">
        <v>556569</v>
      </c>
      <c r="I711" s="331">
        <v>0</v>
      </c>
      <c r="J711" s="331">
        <f t="shared" si="23"/>
        <v>556569</v>
      </c>
      <c r="K711" s="199">
        <v>4.07</v>
      </c>
      <c r="L711" s="199">
        <v>1.79</v>
      </c>
    </row>
    <row r="712" spans="1:12" ht="15" customHeight="1" x14ac:dyDescent="0.25">
      <c r="A712" s="49">
        <v>2006</v>
      </c>
      <c r="B712" s="330" t="s">
        <v>21</v>
      </c>
      <c r="C712" s="331">
        <v>134167054150</v>
      </c>
      <c r="D712" s="331">
        <v>41170266119</v>
      </c>
      <c r="E712" s="331">
        <v>1582633790</v>
      </c>
      <c r="F712" s="331">
        <v>1181333</v>
      </c>
      <c r="G712" s="332">
        <f t="shared" si="22"/>
        <v>8.8049410303013652E-6</v>
      </c>
      <c r="H712" s="331">
        <v>994345</v>
      </c>
      <c r="I712" s="331">
        <v>0</v>
      </c>
      <c r="J712" s="331">
        <f t="shared" si="23"/>
        <v>994345</v>
      </c>
      <c r="K712" s="199">
        <v>3.84</v>
      </c>
      <c r="L712" s="199">
        <v>1.79</v>
      </c>
    </row>
    <row r="713" spans="1:12" ht="15" customHeight="1" x14ac:dyDescent="0.25">
      <c r="A713" s="49">
        <v>2007</v>
      </c>
      <c r="B713" s="330" t="s">
        <v>21</v>
      </c>
      <c r="C713" s="331">
        <v>142943777869</v>
      </c>
      <c r="D713" s="331">
        <v>41792131365</v>
      </c>
      <c r="E713" s="331">
        <v>1488231664</v>
      </c>
      <c r="F713" s="331">
        <v>1279482</v>
      </c>
      <c r="G713" s="332">
        <f t="shared" si="22"/>
        <v>8.9509457429659787E-6</v>
      </c>
      <c r="H713" s="331">
        <v>1290297</v>
      </c>
      <c r="I713" s="331">
        <v>0</v>
      </c>
      <c r="J713" s="331">
        <f t="shared" si="23"/>
        <v>1290297</v>
      </c>
      <c r="K713" s="199">
        <v>3.56</v>
      </c>
      <c r="L713" s="199">
        <v>1.79</v>
      </c>
    </row>
    <row r="714" spans="1:12" ht="15" customHeight="1" x14ac:dyDescent="0.25">
      <c r="A714" s="49">
        <v>2008</v>
      </c>
      <c r="B714" s="330" t="s">
        <v>21</v>
      </c>
      <c r="C714" s="331">
        <v>145952314774</v>
      </c>
      <c r="D714" s="331">
        <v>41954750823</v>
      </c>
      <c r="E714" s="331">
        <v>1412409617</v>
      </c>
      <c r="F714" s="331">
        <v>1498916</v>
      </c>
      <c r="G714" s="332">
        <f t="shared" si="22"/>
        <v>1.0269902209642909E-5</v>
      </c>
      <c r="H714" s="331">
        <v>1241756</v>
      </c>
      <c r="I714" s="331">
        <v>0</v>
      </c>
      <c r="J714" s="331">
        <f t="shared" si="23"/>
        <v>1241756</v>
      </c>
      <c r="K714" s="199">
        <v>3.4</v>
      </c>
      <c r="L714" s="199">
        <v>1.79</v>
      </c>
    </row>
    <row r="715" spans="1:12" ht="15" customHeight="1" x14ac:dyDescent="0.25">
      <c r="A715" s="49">
        <v>2009</v>
      </c>
      <c r="B715" s="330" t="s">
        <v>21</v>
      </c>
      <c r="C715" s="331">
        <v>137182562267</v>
      </c>
      <c r="D715" s="331">
        <v>39871972749</v>
      </c>
      <c r="E715" s="331">
        <v>1435607948</v>
      </c>
      <c r="F715" s="331">
        <v>2592970</v>
      </c>
      <c r="G715" s="332">
        <f t="shared" si="22"/>
        <v>1.8901600590848221E-5</v>
      </c>
      <c r="H715" s="331">
        <v>234162</v>
      </c>
      <c r="I715" s="331">
        <v>0</v>
      </c>
      <c r="J715" s="331">
        <f t="shared" si="23"/>
        <v>234162</v>
      </c>
      <c r="K715" s="199">
        <v>3.6</v>
      </c>
      <c r="L715" s="199">
        <v>1.88</v>
      </c>
    </row>
    <row r="716" spans="1:12" ht="15" customHeight="1" x14ac:dyDescent="0.25">
      <c r="A716" s="49">
        <v>2010</v>
      </c>
      <c r="B716" s="330" t="s">
        <v>21</v>
      </c>
      <c r="C716" s="331">
        <v>141405628030</v>
      </c>
      <c r="D716" s="331">
        <v>40520236600</v>
      </c>
      <c r="E716" s="331">
        <v>1644399903</v>
      </c>
      <c r="F716" s="331">
        <v>1806613</v>
      </c>
      <c r="G716" s="332">
        <f t="shared" si="22"/>
        <v>1.2776103930012721E-5</v>
      </c>
      <c r="H716" s="331">
        <v>18223</v>
      </c>
      <c r="I716" s="331">
        <v>0</v>
      </c>
      <c r="J716" s="331">
        <f t="shared" si="23"/>
        <v>18223</v>
      </c>
      <c r="K716" s="199">
        <v>4.0999999999999996</v>
      </c>
      <c r="L716" s="199">
        <v>1.88</v>
      </c>
    </row>
    <row r="717" spans="1:12" ht="15" customHeight="1" x14ac:dyDescent="0.25">
      <c r="A717" s="49">
        <v>2011</v>
      </c>
      <c r="B717" s="330" t="s">
        <v>21</v>
      </c>
      <c r="C717" s="331">
        <v>148772206862</v>
      </c>
      <c r="D717" s="331">
        <v>41614258493</v>
      </c>
      <c r="E717" s="331">
        <v>1778277214</v>
      </c>
      <c r="F717" s="331">
        <v>1572888</v>
      </c>
      <c r="G717" s="332">
        <f t="shared" si="22"/>
        <v>1.0572458614255816E-5</v>
      </c>
      <c r="H717" s="331">
        <v>193845</v>
      </c>
      <c r="I717" s="331">
        <v>0</v>
      </c>
      <c r="J717" s="331">
        <f t="shared" si="23"/>
        <v>193845</v>
      </c>
      <c r="K717" s="199">
        <v>4.3</v>
      </c>
      <c r="L717" s="199">
        <v>1.88</v>
      </c>
    </row>
    <row r="718" spans="1:12" ht="15" customHeight="1" x14ac:dyDescent="0.25">
      <c r="A718" s="49">
        <v>2012</v>
      </c>
      <c r="B718" s="330" t="s">
        <v>21</v>
      </c>
      <c r="C718" s="331">
        <v>154784102057</v>
      </c>
      <c r="D718" s="331">
        <v>42556421739</v>
      </c>
      <c r="E718" s="331">
        <v>1771025278</v>
      </c>
      <c r="F718" s="331">
        <v>1581723</v>
      </c>
      <c r="G718" s="332">
        <f t="shared" si="22"/>
        <v>1.0218898316944222E-5</v>
      </c>
      <c r="H718" s="331">
        <v>380653</v>
      </c>
      <c r="I718" s="331">
        <v>0</v>
      </c>
      <c r="J718" s="331">
        <f t="shared" si="23"/>
        <v>380653</v>
      </c>
      <c r="K718" s="199">
        <v>4.16</v>
      </c>
      <c r="L718" s="199">
        <v>1.88</v>
      </c>
    </row>
    <row r="719" spans="1:12" ht="15" customHeight="1" x14ac:dyDescent="0.25">
      <c r="A719" s="49">
        <v>2013</v>
      </c>
      <c r="B719" s="330" t="s">
        <v>21</v>
      </c>
      <c r="C719" s="331">
        <v>159580403069</v>
      </c>
      <c r="D719" s="331">
        <v>43876043716</v>
      </c>
      <c r="E719" s="331">
        <v>1748010145</v>
      </c>
      <c r="F719" s="331">
        <v>1467040</v>
      </c>
      <c r="G719" s="332">
        <f t="shared" si="22"/>
        <v>9.1931087513651383E-6</v>
      </c>
      <c r="H719" s="331">
        <v>707302</v>
      </c>
      <c r="I719" s="331">
        <v>0</v>
      </c>
      <c r="J719" s="331">
        <f t="shared" si="23"/>
        <v>707302</v>
      </c>
      <c r="K719" s="199">
        <v>3.98</v>
      </c>
      <c r="L719" s="199">
        <v>1.88</v>
      </c>
    </row>
    <row r="720" spans="1:12" ht="15" customHeight="1" x14ac:dyDescent="0.25">
      <c r="A720" s="49">
        <v>2014</v>
      </c>
      <c r="B720" s="330" t="s">
        <v>21</v>
      </c>
      <c r="C720" s="331">
        <v>169309120472</v>
      </c>
      <c r="D720" s="331">
        <v>45344515621</v>
      </c>
      <c r="E720" s="331">
        <v>1702049289</v>
      </c>
      <c r="F720" s="331">
        <v>1497213</v>
      </c>
      <c r="G720" s="332">
        <f t="shared" si="22"/>
        <v>8.8430735203518225E-6</v>
      </c>
      <c r="H720" s="331">
        <v>949290</v>
      </c>
      <c r="I720" s="331">
        <v>0</v>
      </c>
      <c r="J720" s="331">
        <f t="shared" si="23"/>
        <v>949290</v>
      </c>
      <c r="K720" s="333">
        <v>3.7535945983547903</v>
      </c>
      <c r="L720" s="199">
        <v>1.88</v>
      </c>
    </row>
    <row r="721" spans="1:12" ht="15" customHeight="1" x14ac:dyDescent="0.25">
      <c r="A721" s="49">
        <v>2015</v>
      </c>
      <c r="B721" s="330" t="s">
        <v>21</v>
      </c>
      <c r="C721" s="334">
        <v>180645057000</v>
      </c>
      <c r="D721" s="334">
        <v>49454759000</v>
      </c>
      <c r="E721" s="334">
        <v>1327553000</v>
      </c>
      <c r="F721" s="331">
        <v>1337340</v>
      </c>
      <c r="G721" s="332">
        <f t="shared" si="22"/>
        <v>7.4031364168464352E-6</v>
      </c>
      <c r="H721" s="331">
        <v>925787</v>
      </c>
      <c r="I721" s="199">
        <v>0</v>
      </c>
      <c r="J721" s="331">
        <f t="shared" si="23"/>
        <v>925787</v>
      </c>
      <c r="K721" s="199">
        <v>2.6</v>
      </c>
      <c r="L721" s="199">
        <v>1.88</v>
      </c>
    </row>
    <row r="722" spans="1:12" ht="15" customHeight="1" x14ac:dyDescent="0.25">
      <c r="A722" s="49">
        <v>1980</v>
      </c>
      <c r="B722" s="330" t="s">
        <v>22</v>
      </c>
      <c r="C722" s="331">
        <v>16309233850</v>
      </c>
      <c r="D722" s="331">
        <v>7039253275</v>
      </c>
      <c r="E722" s="331">
        <v>262702461</v>
      </c>
      <c r="F722" s="331">
        <v>178487</v>
      </c>
      <c r="G722" s="332">
        <f t="shared" si="22"/>
        <v>1.0943923034128301E-5</v>
      </c>
      <c r="H722" s="331">
        <v>396248</v>
      </c>
      <c r="I722" s="331">
        <v>0</v>
      </c>
      <c r="J722" s="331">
        <f t="shared" si="23"/>
        <v>396248</v>
      </c>
      <c r="K722" s="199">
        <v>3.73</v>
      </c>
      <c r="L722" s="199">
        <v>1.68</v>
      </c>
    </row>
    <row r="723" spans="1:12" ht="15" customHeight="1" x14ac:dyDescent="0.25">
      <c r="A723" s="49">
        <v>1981</v>
      </c>
      <c r="B723" s="330" t="s">
        <v>22</v>
      </c>
      <c r="C723" s="331">
        <v>17941824436</v>
      </c>
      <c r="D723" s="331">
        <v>7306095565</v>
      </c>
      <c r="E723" s="331">
        <v>178000465</v>
      </c>
      <c r="F723" s="331">
        <v>197226</v>
      </c>
      <c r="G723" s="332">
        <f t="shared" si="22"/>
        <v>1.0992527582884436E-5</v>
      </c>
      <c r="H723" s="331">
        <v>427428</v>
      </c>
      <c r="I723" s="331">
        <v>0</v>
      </c>
      <c r="J723" s="331">
        <f t="shared" si="23"/>
        <v>427428</v>
      </c>
      <c r="K723" s="199">
        <v>2.44</v>
      </c>
      <c r="L723" s="199">
        <v>1.54</v>
      </c>
    </row>
    <row r="724" spans="1:12" ht="15" customHeight="1" x14ac:dyDescent="0.25">
      <c r="A724" s="49">
        <v>1982</v>
      </c>
      <c r="B724" s="330" t="s">
        <v>22</v>
      </c>
      <c r="C724" s="331">
        <v>18759061292</v>
      </c>
      <c r="D724" s="331">
        <v>7224069363</v>
      </c>
      <c r="E724" s="331">
        <v>100155676</v>
      </c>
      <c r="F724" s="331">
        <v>321995</v>
      </c>
      <c r="G724" s="332">
        <f t="shared" si="22"/>
        <v>1.7164771466326951E-5</v>
      </c>
      <c r="H724" s="331">
        <v>219984</v>
      </c>
      <c r="I724" s="331">
        <v>0</v>
      </c>
      <c r="J724" s="331">
        <f t="shared" si="23"/>
        <v>219984</v>
      </c>
      <c r="K724" s="199">
        <v>1.39</v>
      </c>
      <c r="L724" s="199">
        <v>1.68</v>
      </c>
    </row>
    <row r="725" spans="1:12" ht="15" customHeight="1" x14ac:dyDescent="0.25">
      <c r="A725" s="49">
        <v>1983</v>
      </c>
      <c r="B725" s="330" t="s">
        <v>22</v>
      </c>
      <c r="C725" s="331">
        <v>20567644417</v>
      </c>
      <c r="D725" s="331">
        <v>8493110636</v>
      </c>
      <c r="E725" s="331">
        <v>168209275</v>
      </c>
      <c r="F725" s="331">
        <v>275371</v>
      </c>
      <c r="G725" s="332">
        <f t="shared" si="22"/>
        <v>1.3388553128251993E-5</v>
      </c>
      <c r="H725" s="331">
        <v>102422</v>
      </c>
      <c r="I725" s="331">
        <v>0</v>
      </c>
      <c r="J725" s="331">
        <f t="shared" si="23"/>
        <v>102422</v>
      </c>
      <c r="K725" s="199">
        <v>1.98</v>
      </c>
      <c r="L725" s="199">
        <v>1.69</v>
      </c>
    </row>
    <row r="726" spans="1:12" ht="15" customHeight="1" x14ac:dyDescent="0.25">
      <c r="A726" s="49">
        <v>1984</v>
      </c>
      <c r="B726" s="330" t="s">
        <v>22</v>
      </c>
      <c r="C726" s="331">
        <v>23090223804</v>
      </c>
      <c r="D726" s="331">
        <v>9211778474</v>
      </c>
      <c r="E726" s="331">
        <v>304015807</v>
      </c>
      <c r="F726" s="331">
        <v>189106</v>
      </c>
      <c r="G726" s="332">
        <f t="shared" si="22"/>
        <v>8.1898729785044574E-6</v>
      </c>
      <c r="H726" s="331">
        <v>228017</v>
      </c>
      <c r="I726" s="331">
        <v>0</v>
      </c>
      <c r="J726" s="331">
        <f t="shared" si="23"/>
        <v>228017</v>
      </c>
      <c r="K726" s="199">
        <v>3.3</v>
      </c>
      <c r="L726" s="199">
        <v>1.69</v>
      </c>
    </row>
    <row r="727" spans="1:12" ht="15" customHeight="1" x14ac:dyDescent="0.25">
      <c r="A727" s="49">
        <v>1985</v>
      </c>
      <c r="B727" s="330" t="s">
        <v>22</v>
      </c>
      <c r="C727" s="331">
        <v>25603692597</v>
      </c>
      <c r="D727" s="331">
        <v>9895919627</v>
      </c>
      <c r="E727" s="331">
        <v>325493994</v>
      </c>
      <c r="F727" s="331">
        <v>198752</v>
      </c>
      <c r="G727" s="332">
        <f t="shared" si="22"/>
        <v>7.7626303021341497E-6</v>
      </c>
      <c r="H727" s="331">
        <v>383577</v>
      </c>
      <c r="I727" s="331">
        <v>0</v>
      </c>
      <c r="J727" s="331">
        <f t="shared" si="23"/>
        <v>383577</v>
      </c>
      <c r="K727" s="199">
        <v>3.29</v>
      </c>
      <c r="L727" s="199">
        <v>1.69</v>
      </c>
    </row>
    <row r="728" spans="1:12" ht="15" customHeight="1" x14ac:dyDescent="0.25">
      <c r="A728" s="49">
        <v>1986</v>
      </c>
      <c r="B728" s="330" t="s">
        <v>22</v>
      </c>
      <c r="C728" s="331">
        <v>28108580778</v>
      </c>
      <c r="D728" s="331">
        <v>10493491776</v>
      </c>
      <c r="E728" s="331">
        <v>289953218</v>
      </c>
      <c r="F728" s="331">
        <v>206445</v>
      </c>
      <c r="G728" s="332">
        <f t="shared" si="22"/>
        <v>7.3445543775579092E-6</v>
      </c>
      <c r="H728" s="331">
        <v>525696</v>
      </c>
      <c r="I728" s="331">
        <v>0</v>
      </c>
      <c r="J728" s="331">
        <f t="shared" si="23"/>
        <v>525696</v>
      </c>
      <c r="K728" s="199">
        <v>2.76</v>
      </c>
      <c r="L728" s="199">
        <v>1.69</v>
      </c>
    </row>
    <row r="729" spans="1:12" ht="15" customHeight="1" x14ac:dyDescent="0.25">
      <c r="A729" s="49">
        <v>1987</v>
      </c>
      <c r="B729" s="330" t="s">
        <v>22</v>
      </c>
      <c r="C729" s="331">
        <v>31340250587</v>
      </c>
      <c r="D729" s="331">
        <v>11274540573</v>
      </c>
      <c r="E729" s="331">
        <v>167981068</v>
      </c>
      <c r="F729" s="331">
        <v>186294</v>
      </c>
      <c r="G729" s="332">
        <f t="shared" si="22"/>
        <v>5.9442409205647871E-6</v>
      </c>
      <c r="H729" s="331">
        <v>555843</v>
      </c>
      <c r="I729" s="331">
        <v>0</v>
      </c>
      <c r="J729" s="331">
        <f t="shared" si="23"/>
        <v>555843</v>
      </c>
      <c r="K729" s="199">
        <v>1.49</v>
      </c>
      <c r="L729" s="199">
        <v>1.69</v>
      </c>
    </row>
    <row r="730" spans="1:12" ht="15" customHeight="1" x14ac:dyDescent="0.25">
      <c r="A730" s="49">
        <v>1988</v>
      </c>
      <c r="B730" s="330" t="s">
        <v>22</v>
      </c>
      <c r="C730" s="331">
        <v>34506889314</v>
      </c>
      <c r="D730" s="331">
        <v>11848885321</v>
      </c>
      <c r="E730" s="331">
        <v>159409161</v>
      </c>
      <c r="F730" s="331">
        <v>177193</v>
      </c>
      <c r="G730" s="332">
        <f t="shared" si="22"/>
        <v>5.1350035753037281E-6</v>
      </c>
      <c r="H730" s="331">
        <v>586244</v>
      </c>
      <c r="I730" s="331">
        <v>0</v>
      </c>
      <c r="J730" s="331">
        <f t="shared" si="23"/>
        <v>586244</v>
      </c>
      <c r="K730" s="199">
        <v>1.35</v>
      </c>
      <c r="L730" s="199">
        <v>1.69</v>
      </c>
    </row>
    <row r="731" spans="1:12" ht="15" customHeight="1" x14ac:dyDescent="0.25">
      <c r="A731" s="49">
        <v>1989</v>
      </c>
      <c r="B731" s="330" t="s">
        <v>22</v>
      </c>
      <c r="C731" s="331">
        <v>36608339807</v>
      </c>
      <c r="D731" s="331">
        <v>12196923019</v>
      </c>
      <c r="E731" s="331">
        <v>147608736</v>
      </c>
      <c r="F731" s="331">
        <v>191434</v>
      </c>
      <c r="G731" s="332">
        <f t="shared" si="22"/>
        <v>5.2292456038499537E-6</v>
      </c>
      <c r="H731" s="331">
        <v>598335</v>
      </c>
      <c r="I731" s="331">
        <v>0</v>
      </c>
      <c r="J731" s="331">
        <f t="shared" si="23"/>
        <v>598335</v>
      </c>
      <c r="K731" s="199">
        <v>1.21</v>
      </c>
      <c r="L731" s="199">
        <v>1.69</v>
      </c>
    </row>
    <row r="732" spans="1:12" ht="15" customHeight="1" x14ac:dyDescent="0.25">
      <c r="A732" s="49">
        <v>1990</v>
      </c>
      <c r="B732" s="330" t="s">
        <v>22</v>
      </c>
      <c r="C732" s="331">
        <v>38489530316</v>
      </c>
      <c r="D732" s="331">
        <v>12238292833</v>
      </c>
      <c r="E732" s="331">
        <v>139452321</v>
      </c>
      <c r="F732" s="331">
        <v>268941</v>
      </c>
      <c r="G732" s="332">
        <f t="shared" si="22"/>
        <v>6.9873806666900771E-6</v>
      </c>
      <c r="H732" s="331">
        <v>520864</v>
      </c>
      <c r="I732" s="331">
        <v>0</v>
      </c>
      <c r="J732" s="331">
        <f t="shared" si="23"/>
        <v>520864</v>
      </c>
      <c r="K732" s="199">
        <v>1.1399999999999999</v>
      </c>
      <c r="L732" s="199">
        <v>1.69</v>
      </c>
    </row>
    <row r="733" spans="1:12" ht="15" customHeight="1" x14ac:dyDescent="0.25">
      <c r="A733" s="49">
        <v>1991</v>
      </c>
      <c r="B733" s="330" t="s">
        <v>22</v>
      </c>
      <c r="C733" s="331">
        <v>38100094450</v>
      </c>
      <c r="D733" s="331">
        <v>11636643510</v>
      </c>
      <c r="E733" s="331">
        <v>172258938</v>
      </c>
      <c r="F733" s="331">
        <v>483489</v>
      </c>
      <c r="G733" s="332">
        <f t="shared" si="22"/>
        <v>1.2689968541534678E-5</v>
      </c>
      <c r="H733" s="331">
        <v>224970</v>
      </c>
      <c r="I733" s="331">
        <v>0</v>
      </c>
      <c r="J733" s="331">
        <f t="shared" si="23"/>
        <v>224970</v>
      </c>
      <c r="K733" s="199">
        <v>1.48</v>
      </c>
      <c r="L733" s="199">
        <v>1.69</v>
      </c>
    </row>
    <row r="734" spans="1:12" ht="15" customHeight="1" x14ac:dyDescent="0.25">
      <c r="A734" s="49">
        <v>1992</v>
      </c>
      <c r="B734" s="330" t="s">
        <v>22</v>
      </c>
      <c r="C734" s="331">
        <v>39503235098</v>
      </c>
      <c r="D734" s="331">
        <v>11548229201</v>
      </c>
      <c r="E734" s="331">
        <v>374155186</v>
      </c>
      <c r="F734" s="331">
        <v>455516</v>
      </c>
      <c r="G734" s="332">
        <f t="shared" si="22"/>
        <v>1.1531106221299384E-5</v>
      </c>
      <c r="H734" s="331">
        <v>145839</v>
      </c>
      <c r="I734" s="331">
        <v>0</v>
      </c>
      <c r="J734" s="331">
        <f t="shared" si="23"/>
        <v>145839</v>
      </c>
      <c r="K734" s="199">
        <v>3.24</v>
      </c>
      <c r="L734" s="199">
        <v>1.69</v>
      </c>
    </row>
    <row r="735" spans="1:12" ht="15" customHeight="1" x14ac:dyDescent="0.25">
      <c r="A735" s="49">
        <v>1993</v>
      </c>
      <c r="B735" s="330" t="s">
        <v>22</v>
      </c>
      <c r="C735" s="331">
        <v>40643895780</v>
      </c>
      <c r="D735" s="331">
        <v>13529829765</v>
      </c>
      <c r="E735" s="331">
        <v>428373368</v>
      </c>
      <c r="F735" s="331">
        <v>363923</v>
      </c>
      <c r="G735" s="332">
        <f t="shared" si="22"/>
        <v>8.9539398971463463E-6</v>
      </c>
      <c r="H735" s="331">
        <v>219071</v>
      </c>
      <c r="I735" s="331">
        <v>0</v>
      </c>
      <c r="J735" s="331">
        <f t="shared" si="23"/>
        <v>219071</v>
      </c>
      <c r="K735" s="199">
        <v>3.17</v>
      </c>
      <c r="L735" s="199">
        <v>1.69</v>
      </c>
    </row>
    <row r="736" spans="1:12" x14ac:dyDescent="0.25">
      <c r="A736" s="49">
        <v>1994</v>
      </c>
      <c r="B736" s="330" t="s">
        <v>22</v>
      </c>
      <c r="C736" s="331">
        <v>42504909993</v>
      </c>
      <c r="D736" s="331">
        <v>14084944050</v>
      </c>
      <c r="E736" s="331">
        <v>500641377</v>
      </c>
      <c r="F736" s="331">
        <v>325363</v>
      </c>
      <c r="G736" s="332">
        <f t="shared" si="22"/>
        <v>7.6547156564637588E-6</v>
      </c>
      <c r="H736" s="331">
        <v>408994</v>
      </c>
      <c r="I736" s="331">
        <v>0</v>
      </c>
      <c r="J736" s="331">
        <f t="shared" si="23"/>
        <v>408994</v>
      </c>
      <c r="K736" s="199">
        <v>3.55</v>
      </c>
      <c r="L736" s="199">
        <v>1.69</v>
      </c>
    </row>
    <row r="737" spans="1:12" ht="15" customHeight="1" x14ac:dyDescent="0.25">
      <c r="A737" s="49">
        <v>1995</v>
      </c>
      <c r="B737" s="330" t="s">
        <v>22</v>
      </c>
      <c r="C737" s="331">
        <v>44448684598</v>
      </c>
      <c r="D737" s="331">
        <v>14435954039</v>
      </c>
      <c r="E737" s="331">
        <v>481866386</v>
      </c>
      <c r="F737" s="331">
        <v>331405</v>
      </c>
      <c r="G737" s="332">
        <f t="shared" si="22"/>
        <v>7.4559011812671686E-6</v>
      </c>
      <c r="H737" s="331">
        <v>605415</v>
      </c>
      <c r="I737" s="331">
        <v>0</v>
      </c>
      <c r="J737" s="331">
        <f t="shared" si="23"/>
        <v>605415</v>
      </c>
      <c r="K737" s="199">
        <v>3.34</v>
      </c>
      <c r="L737" s="199">
        <v>1.48</v>
      </c>
    </row>
    <row r="738" spans="1:12" ht="15" customHeight="1" x14ac:dyDescent="0.25">
      <c r="A738" s="49">
        <v>1996</v>
      </c>
      <c r="B738" s="330" t="s">
        <v>22</v>
      </c>
      <c r="C738" s="331">
        <v>47012993865</v>
      </c>
      <c r="D738" s="331">
        <v>14855284694</v>
      </c>
      <c r="E738" s="331">
        <v>364067252</v>
      </c>
      <c r="F738" s="331">
        <v>339194</v>
      </c>
      <c r="G738" s="332">
        <f t="shared" si="22"/>
        <v>7.2148989484484092E-6</v>
      </c>
      <c r="H738" s="331">
        <v>690786</v>
      </c>
      <c r="I738" s="331">
        <v>0</v>
      </c>
      <c r="J738" s="331">
        <f t="shared" si="23"/>
        <v>690786</v>
      </c>
      <c r="K738" s="199">
        <v>2.4500000000000002</v>
      </c>
      <c r="L738" s="199">
        <v>1.46</v>
      </c>
    </row>
    <row r="739" spans="1:12" ht="15" customHeight="1" x14ac:dyDescent="0.25">
      <c r="A739" s="49">
        <v>1997</v>
      </c>
      <c r="B739" s="330" t="s">
        <v>22</v>
      </c>
      <c r="C739" s="331">
        <v>51184621158</v>
      </c>
      <c r="D739" s="331">
        <v>15615987400</v>
      </c>
      <c r="E739" s="331">
        <v>278024052</v>
      </c>
      <c r="F739" s="331">
        <v>308627</v>
      </c>
      <c r="G739" s="332">
        <f t="shared" si="22"/>
        <v>6.0296822173853782E-6</v>
      </c>
      <c r="H739" s="331">
        <v>720552</v>
      </c>
      <c r="I739" s="331">
        <v>0</v>
      </c>
      <c r="J739" s="331">
        <f t="shared" si="23"/>
        <v>720552</v>
      </c>
      <c r="K739" s="199">
        <v>1.78</v>
      </c>
      <c r="L739" s="199">
        <v>1.46</v>
      </c>
    </row>
    <row r="740" spans="1:12" ht="15" customHeight="1" x14ac:dyDescent="0.25">
      <c r="A740" s="49">
        <v>1998</v>
      </c>
      <c r="B740" s="330" t="s">
        <v>22</v>
      </c>
      <c r="C740" s="331">
        <v>55177931519</v>
      </c>
      <c r="D740" s="331">
        <v>16184597270</v>
      </c>
      <c r="E740" s="331">
        <v>266422431</v>
      </c>
      <c r="F740" s="331">
        <v>283963</v>
      </c>
      <c r="G740" s="332">
        <f t="shared" si="22"/>
        <v>5.1463146983358739E-6</v>
      </c>
      <c r="H740" s="331">
        <v>751394</v>
      </c>
      <c r="I740" s="331">
        <v>0</v>
      </c>
      <c r="J740" s="331">
        <f t="shared" si="23"/>
        <v>751394</v>
      </c>
      <c r="K740" s="199">
        <v>1.65</v>
      </c>
      <c r="L740" s="199">
        <v>1.46</v>
      </c>
    </row>
    <row r="741" spans="1:12" ht="15" customHeight="1" x14ac:dyDescent="0.25">
      <c r="A741" s="49">
        <v>1999</v>
      </c>
      <c r="B741" s="330" t="s">
        <v>22</v>
      </c>
      <c r="C741" s="331">
        <v>59471259765</v>
      </c>
      <c r="D741" s="331">
        <v>16939747353</v>
      </c>
      <c r="E741" s="331">
        <v>275442931</v>
      </c>
      <c r="F741" s="331">
        <v>253092</v>
      </c>
      <c r="G741" s="332">
        <f t="shared" si="22"/>
        <v>4.2557026873163633E-6</v>
      </c>
      <c r="H741" s="331">
        <v>815177</v>
      </c>
      <c r="I741" s="331">
        <v>0</v>
      </c>
      <c r="J741" s="331">
        <f t="shared" si="23"/>
        <v>815177</v>
      </c>
      <c r="K741" s="199">
        <v>1.63</v>
      </c>
      <c r="L741" s="199">
        <v>1.46</v>
      </c>
    </row>
    <row r="742" spans="1:12" ht="15" customHeight="1" x14ac:dyDescent="0.25">
      <c r="A742" s="49">
        <v>2000</v>
      </c>
      <c r="B742" s="330" t="s">
        <v>22</v>
      </c>
      <c r="C742" s="331">
        <v>64621375349</v>
      </c>
      <c r="D742" s="331">
        <v>17689450618</v>
      </c>
      <c r="E742" s="331">
        <v>259379391</v>
      </c>
      <c r="F742" s="331">
        <v>251899</v>
      </c>
      <c r="G742" s="332">
        <f t="shared" si="22"/>
        <v>3.8980754996248784E-6</v>
      </c>
      <c r="H742" s="331">
        <v>882505</v>
      </c>
      <c r="I742" s="331">
        <v>0</v>
      </c>
      <c r="J742" s="331">
        <f t="shared" si="23"/>
        <v>882505</v>
      </c>
      <c r="K742" s="199">
        <v>1.47</v>
      </c>
      <c r="L742" s="199">
        <v>1.46</v>
      </c>
    </row>
    <row r="743" spans="1:12" ht="15" customHeight="1" x14ac:dyDescent="0.25">
      <c r="A743" s="49">
        <v>2001</v>
      </c>
      <c r="B743" s="330" t="s">
        <v>22</v>
      </c>
      <c r="C743" s="331">
        <v>67704395407</v>
      </c>
      <c r="D743" s="331">
        <v>17717459709</v>
      </c>
      <c r="E743" s="331">
        <v>242780374</v>
      </c>
      <c r="F743" s="331">
        <v>373226</v>
      </c>
      <c r="G743" s="332">
        <f t="shared" si="22"/>
        <v>5.5125815356060605E-6</v>
      </c>
      <c r="H743" s="331">
        <v>826266</v>
      </c>
      <c r="I743" s="331">
        <v>0</v>
      </c>
      <c r="J743" s="331">
        <f t="shared" si="23"/>
        <v>826266</v>
      </c>
      <c r="K743" s="199">
        <v>1.37</v>
      </c>
      <c r="L743" s="199">
        <v>1.46</v>
      </c>
    </row>
    <row r="744" spans="1:12" ht="15" customHeight="1" x14ac:dyDescent="0.25">
      <c r="A744" s="49">
        <v>2002</v>
      </c>
      <c r="B744" s="330" t="s">
        <v>22</v>
      </c>
      <c r="C744" s="331">
        <v>68841033997</v>
      </c>
      <c r="D744" s="331">
        <v>17682577961</v>
      </c>
      <c r="E744" s="331">
        <v>232640687</v>
      </c>
      <c r="F744" s="331">
        <v>474108</v>
      </c>
      <c r="G744" s="332">
        <f t="shared" si="22"/>
        <v>6.8869970782347773E-6</v>
      </c>
      <c r="H744" s="331">
        <v>781334</v>
      </c>
      <c r="I744" s="331">
        <v>0</v>
      </c>
      <c r="J744" s="331">
        <f t="shared" si="23"/>
        <v>781334</v>
      </c>
      <c r="K744" s="199">
        <v>1.32</v>
      </c>
      <c r="L744" s="199">
        <v>1.46</v>
      </c>
    </row>
    <row r="745" spans="1:12" ht="15" customHeight="1" x14ac:dyDescent="0.25">
      <c r="A745" s="49">
        <v>2003</v>
      </c>
      <c r="B745" s="330" t="s">
        <v>22</v>
      </c>
      <c r="C745" s="331">
        <v>71237390380</v>
      </c>
      <c r="D745" s="331">
        <v>17694429505</v>
      </c>
      <c r="E745" s="331">
        <v>260011261</v>
      </c>
      <c r="F745" s="331">
        <v>493771</v>
      </c>
      <c r="G745" s="332">
        <f t="shared" si="22"/>
        <v>6.931345987915735E-6</v>
      </c>
      <c r="H745" s="331">
        <v>584047</v>
      </c>
      <c r="I745" s="331">
        <v>0</v>
      </c>
      <c r="J745" s="331">
        <f t="shared" si="23"/>
        <v>584047</v>
      </c>
      <c r="K745" s="199">
        <v>1.47</v>
      </c>
      <c r="L745" s="199">
        <v>1.46</v>
      </c>
    </row>
    <row r="746" spans="1:12" ht="15" customHeight="1" x14ac:dyDescent="0.25">
      <c r="A746" s="49">
        <v>2004</v>
      </c>
      <c r="B746" s="330" t="s">
        <v>22</v>
      </c>
      <c r="C746" s="331">
        <v>75802118923</v>
      </c>
      <c r="D746" s="331">
        <v>18316530725</v>
      </c>
      <c r="E746" s="331">
        <v>494375131</v>
      </c>
      <c r="F746" s="331">
        <v>405028</v>
      </c>
      <c r="G746" s="332">
        <f t="shared" si="22"/>
        <v>5.3432279434223808E-6</v>
      </c>
      <c r="H746" s="331">
        <v>698034</v>
      </c>
      <c r="I746" s="331">
        <v>0</v>
      </c>
      <c r="J746" s="331">
        <f t="shared" si="23"/>
        <v>698034</v>
      </c>
      <c r="K746" s="199">
        <v>2.7</v>
      </c>
      <c r="L746" s="199">
        <v>1.46</v>
      </c>
    </row>
    <row r="747" spans="1:12" ht="15" customHeight="1" x14ac:dyDescent="0.25">
      <c r="A747" s="49">
        <v>2005</v>
      </c>
      <c r="B747" s="330" t="s">
        <v>22</v>
      </c>
      <c r="C747" s="331">
        <v>80546097932</v>
      </c>
      <c r="D747" s="331">
        <v>18965475812</v>
      </c>
      <c r="E747" s="331">
        <v>496863517</v>
      </c>
      <c r="F747" s="331">
        <v>364790</v>
      </c>
      <c r="G747" s="332">
        <f t="shared" si="22"/>
        <v>4.5289593085933131E-6</v>
      </c>
      <c r="H747" s="331">
        <v>884321</v>
      </c>
      <c r="I747" s="331">
        <v>0</v>
      </c>
      <c r="J747" s="331">
        <f t="shared" si="23"/>
        <v>884321</v>
      </c>
      <c r="K747" s="199">
        <v>2.62</v>
      </c>
      <c r="L747" s="199">
        <v>1.46</v>
      </c>
    </row>
    <row r="748" spans="1:12" ht="15" customHeight="1" x14ac:dyDescent="0.25">
      <c r="A748" s="49">
        <v>2006</v>
      </c>
      <c r="B748" s="330" t="s">
        <v>22</v>
      </c>
      <c r="C748" s="331">
        <v>84863642407</v>
      </c>
      <c r="D748" s="331">
        <v>19381943952</v>
      </c>
      <c r="E748" s="331">
        <v>433927699</v>
      </c>
      <c r="F748" s="331">
        <v>365148</v>
      </c>
      <c r="G748" s="332">
        <f t="shared" si="22"/>
        <v>4.3027613432944123E-6</v>
      </c>
      <c r="H748" s="331">
        <v>1018371</v>
      </c>
      <c r="I748" s="331">
        <v>0</v>
      </c>
      <c r="J748" s="331">
        <f t="shared" si="23"/>
        <v>1018371</v>
      </c>
      <c r="K748" s="199">
        <v>2.2400000000000002</v>
      </c>
      <c r="L748" s="199">
        <v>1.46</v>
      </c>
    </row>
    <row r="749" spans="1:12" ht="15" customHeight="1" x14ac:dyDescent="0.25">
      <c r="A749" s="49">
        <v>2007</v>
      </c>
      <c r="B749" s="330" t="s">
        <v>22</v>
      </c>
      <c r="C749" s="331">
        <v>88754487979</v>
      </c>
      <c r="D749" s="331">
        <v>19451016143</v>
      </c>
      <c r="E749" s="331">
        <v>350912825</v>
      </c>
      <c r="F749" s="331">
        <v>418794</v>
      </c>
      <c r="G749" s="332">
        <f t="shared" si="22"/>
        <v>4.7185670216371472E-6</v>
      </c>
      <c r="H749" s="331">
        <v>1016659</v>
      </c>
      <c r="I749" s="331">
        <v>0</v>
      </c>
      <c r="J749" s="331">
        <f t="shared" si="23"/>
        <v>1016659</v>
      </c>
      <c r="K749" s="199">
        <v>1.8</v>
      </c>
      <c r="L749" s="199">
        <v>1.46</v>
      </c>
    </row>
    <row r="750" spans="1:12" ht="15" customHeight="1" x14ac:dyDescent="0.25">
      <c r="A750" s="49">
        <v>2008</v>
      </c>
      <c r="B750" s="330" t="s">
        <v>22</v>
      </c>
      <c r="C750" s="331">
        <v>89726476881</v>
      </c>
      <c r="D750" s="331">
        <v>19061452751</v>
      </c>
      <c r="E750" s="331">
        <v>324082813</v>
      </c>
      <c r="F750" s="331">
        <v>609657</v>
      </c>
      <c r="G750" s="332">
        <f t="shared" si="22"/>
        <v>6.7946164966285186E-6</v>
      </c>
      <c r="H750" s="331">
        <v>773782</v>
      </c>
      <c r="I750" s="331">
        <v>0</v>
      </c>
      <c r="J750" s="331">
        <f t="shared" si="23"/>
        <v>773782</v>
      </c>
      <c r="K750" s="199">
        <v>1.7</v>
      </c>
      <c r="L750" s="199">
        <v>1.46</v>
      </c>
    </row>
    <row r="751" spans="1:12" ht="15" customHeight="1" x14ac:dyDescent="0.25">
      <c r="A751" s="49">
        <v>2009</v>
      </c>
      <c r="B751" s="330" t="s">
        <v>22</v>
      </c>
      <c r="C751" s="331">
        <v>86815258679</v>
      </c>
      <c r="D751" s="331">
        <v>17964285775</v>
      </c>
      <c r="E751" s="331">
        <v>365329171</v>
      </c>
      <c r="F751" s="331">
        <v>1032613</v>
      </c>
      <c r="G751" s="332">
        <f t="shared" si="22"/>
        <v>1.1894372207287816E-5</v>
      </c>
      <c r="H751" s="331">
        <v>135304</v>
      </c>
      <c r="I751" s="331">
        <v>0</v>
      </c>
      <c r="J751" s="331">
        <f t="shared" si="23"/>
        <v>135304</v>
      </c>
      <c r="K751" s="199">
        <v>2</v>
      </c>
      <c r="L751" s="199">
        <v>1.2</v>
      </c>
    </row>
    <row r="752" spans="1:12" ht="15" customHeight="1" x14ac:dyDescent="0.25">
      <c r="A752" s="49">
        <v>2010</v>
      </c>
      <c r="B752" s="330" t="s">
        <v>22</v>
      </c>
      <c r="C752" s="331">
        <v>88280116209</v>
      </c>
      <c r="D752" s="331">
        <v>17873972209</v>
      </c>
      <c r="E752" s="331">
        <v>811840585</v>
      </c>
      <c r="F752" s="331">
        <v>848342</v>
      </c>
      <c r="G752" s="332">
        <f t="shared" si="22"/>
        <v>9.6096611154382804E-6</v>
      </c>
      <c r="H752" s="331">
        <v>199897</v>
      </c>
      <c r="I752" s="331">
        <v>0</v>
      </c>
      <c r="J752" s="331">
        <f t="shared" si="23"/>
        <v>199897</v>
      </c>
      <c r="K752" s="199">
        <v>4.5</v>
      </c>
      <c r="L752" s="199">
        <v>1.2</v>
      </c>
    </row>
    <row r="753" spans="1:12" ht="15" customHeight="1" x14ac:dyDescent="0.25">
      <c r="A753" s="49">
        <v>2011</v>
      </c>
      <c r="B753" s="330" t="s">
        <v>22</v>
      </c>
      <c r="C753" s="331">
        <v>91064568888</v>
      </c>
      <c r="D753" s="331">
        <v>18082141078</v>
      </c>
      <c r="E753" s="331">
        <v>949695281</v>
      </c>
      <c r="F753" s="331">
        <v>749315</v>
      </c>
      <c r="G753" s="332">
        <f t="shared" si="22"/>
        <v>8.2283923281027103E-6</v>
      </c>
      <c r="H753" s="331">
        <v>418330</v>
      </c>
      <c r="I753" s="331">
        <v>0</v>
      </c>
      <c r="J753" s="331">
        <f t="shared" si="23"/>
        <v>418330</v>
      </c>
      <c r="K753" s="199">
        <v>5.3</v>
      </c>
      <c r="L753" s="199">
        <v>1.2</v>
      </c>
    </row>
    <row r="754" spans="1:12" ht="15" customHeight="1" x14ac:dyDescent="0.25">
      <c r="A754" s="49">
        <v>2012</v>
      </c>
      <c r="B754" s="330" t="s">
        <v>22</v>
      </c>
      <c r="C754" s="331">
        <v>95123300012</v>
      </c>
      <c r="D754" s="331">
        <v>18493818374</v>
      </c>
      <c r="E754" s="331">
        <v>1029242977</v>
      </c>
      <c r="F754" s="331">
        <v>730774</v>
      </c>
      <c r="G754" s="332">
        <f t="shared" si="22"/>
        <v>7.6823869641592685E-6</v>
      </c>
      <c r="H754" s="331">
        <v>758970</v>
      </c>
      <c r="I754" s="331">
        <v>0</v>
      </c>
      <c r="J754" s="331">
        <f t="shared" si="23"/>
        <v>758970</v>
      </c>
      <c r="K754" s="199">
        <v>5.57</v>
      </c>
      <c r="L754" s="199">
        <v>1.2</v>
      </c>
    </row>
    <row r="755" spans="1:12" ht="15" customHeight="1" x14ac:dyDescent="0.25">
      <c r="A755" s="49">
        <v>2013</v>
      </c>
      <c r="B755" s="330" t="s">
        <v>22</v>
      </c>
      <c r="C755" s="331">
        <v>96510473629</v>
      </c>
      <c r="D755" s="331">
        <v>19137442471</v>
      </c>
      <c r="E755" s="331">
        <v>743748220</v>
      </c>
      <c r="F755" s="331">
        <v>696358</v>
      </c>
      <c r="G755" s="332">
        <f t="shared" si="22"/>
        <v>7.2153619582979073E-6</v>
      </c>
      <c r="H755" s="331">
        <v>874703</v>
      </c>
      <c r="I755" s="331">
        <v>0</v>
      </c>
      <c r="J755" s="331">
        <f t="shared" si="23"/>
        <v>874703</v>
      </c>
      <c r="K755" s="199">
        <v>3.89</v>
      </c>
      <c r="L755" s="199">
        <v>1.2</v>
      </c>
    </row>
    <row r="756" spans="1:12" ht="15" customHeight="1" x14ac:dyDescent="0.25">
      <c r="A756" s="49">
        <v>2014</v>
      </c>
      <c r="B756" s="330" t="s">
        <v>22</v>
      </c>
      <c r="C756" s="331">
        <v>99646078353</v>
      </c>
      <c r="D756" s="331">
        <v>19361683461</v>
      </c>
      <c r="E756" s="331">
        <v>530192397</v>
      </c>
      <c r="F756" s="331">
        <v>623274</v>
      </c>
      <c r="G756" s="332">
        <f t="shared" si="22"/>
        <v>6.2548773649879958E-6</v>
      </c>
      <c r="H756" s="331">
        <v>848316</v>
      </c>
      <c r="I756" s="331">
        <v>0</v>
      </c>
      <c r="J756" s="331">
        <f t="shared" si="23"/>
        <v>848316</v>
      </c>
      <c r="K756" s="333">
        <v>2.7383589762117535</v>
      </c>
      <c r="L756" s="199">
        <v>1.2</v>
      </c>
    </row>
    <row r="757" spans="1:12" ht="15" customHeight="1" x14ac:dyDescent="0.25">
      <c r="A757" s="49">
        <v>2015</v>
      </c>
      <c r="B757" s="330" t="s">
        <v>22</v>
      </c>
      <c r="C757" s="334">
        <v>105316748000</v>
      </c>
      <c r="D757" s="334">
        <v>20321472000</v>
      </c>
      <c r="E757" s="334">
        <v>631018000</v>
      </c>
      <c r="F757" s="331">
        <v>522953</v>
      </c>
      <c r="G757" s="332">
        <f t="shared" si="22"/>
        <v>4.9655255211640219E-6</v>
      </c>
      <c r="H757" s="331">
        <v>957921</v>
      </c>
      <c r="I757" s="199">
        <v>0</v>
      </c>
      <c r="J757" s="331">
        <f t="shared" si="23"/>
        <v>957921</v>
      </c>
      <c r="K757" s="199">
        <v>3</v>
      </c>
      <c r="L757" s="199">
        <v>1.2</v>
      </c>
    </row>
    <row r="758" spans="1:12" ht="15" customHeight="1" x14ac:dyDescent="0.25">
      <c r="A758" s="49">
        <v>1980</v>
      </c>
      <c r="B758" s="330" t="s">
        <v>23</v>
      </c>
      <c r="C758" s="331">
        <v>3614416920</v>
      </c>
      <c r="D758" s="331">
        <v>1860581306</v>
      </c>
      <c r="E758" s="331">
        <v>58154139</v>
      </c>
      <c r="F758" s="331">
        <v>56774</v>
      </c>
      <c r="G758" s="332">
        <f t="shared" si="22"/>
        <v>1.5707651125094889E-5</v>
      </c>
      <c r="H758" s="331">
        <v>34934</v>
      </c>
      <c r="I758" s="331">
        <v>36400</v>
      </c>
      <c r="J758" s="331">
        <f t="shared" si="23"/>
        <v>-1466</v>
      </c>
      <c r="K758" s="199">
        <v>3.13</v>
      </c>
      <c r="L758" s="199">
        <v>2.4300000000000002</v>
      </c>
    </row>
    <row r="759" spans="1:12" ht="15" customHeight="1" x14ac:dyDescent="0.25">
      <c r="A759" s="49">
        <v>1981</v>
      </c>
      <c r="B759" s="330" t="s">
        <v>23</v>
      </c>
      <c r="C759" s="331">
        <v>3899701648</v>
      </c>
      <c r="D759" s="331">
        <v>1908640014</v>
      </c>
      <c r="E759" s="331">
        <v>59451419</v>
      </c>
      <c r="F759" s="331">
        <v>58763</v>
      </c>
      <c r="G759" s="332">
        <f t="shared" si="22"/>
        <v>1.5068588652195272E-5</v>
      </c>
      <c r="H759" s="331">
        <v>32734</v>
      </c>
      <c r="I759" s="331">
        <v>31446</v>
      </c>
      <c r="J759" s="331">
        <f t="shared" si="23"/>
        <v>1288</v>
      </c>
      <c r="K759" s="199">
        <v>3.11</v>
      </c>
      <c r="L759" s="199">
        <v>2.4300000000000002</v>
      </c>
    </row>
    <row r="760" spans="1:12" ht="15" customHeight="1" x14ac:dyDescent="0.25">
      <c r="A760" s="49">
        <v>1982</v>
      </c>
      <c r="B760" s="330" t="s">
        <v>23</v>
      </c>
      <c r="C760" s="331">
        <v>4125543002</v>
      </c>
      <c r="D760" s="331">
        <v>1894842722</v>
      </c>
      <c r="E760" s="331">
        <v>58443497</v>
      </c>
      <c r="F760" s="331">
        <v>69527</v>
      </c>
      <c r="G760" s="332">
        <f t="shared" si="22"/>
        <v>1.685281185199E-5</v>
      </c>
      <c r="H760" s="331">
        <v>17072</v>
      </c>
      <c r="I760" s="331">
        <v>20891</v>
      </c>
      <c r="J760" s="331">
        <f t="shared" si="23"/>
        <v>-3819</v>
      </c>
      <c r="K760" s="199">
        <v>3.08</v>
      </c>
      <c r="L760" s="199">
        <v>2.4300000000000002</v>
      </c>
    </row>
    <row r="761" spans="1:12" ht="15" customHeight="1" x14ac:dyDescent="0.25">
      <c r="A761" s="49">
        <v>1983</v>
      </c>
      <c r="B761" s="330" t="s">
        <v>23</v>
      </c>
      <c r="C761" s="331">
        <v>4421321763</v>
      </c>
      <c r="D761" s="331">
        <v>2171792258</v>
      </c>
      <c r="E761" s="331">
        <v>79758551</v>
      </c>
      <c r="F761" s="331">
        <v>65501</v>
      </c>
      <c r="G761" s="332">
        <f t="shared" si="22"/>
        <v>1.4814800530499187E-5</v>
      </c>
      <c r="H761" s="331">
        <v>22577</v>
      </c>
      <c r="I761" s="331">
        <v>0</v>
      </c>
      <c r="J761" s="331">
        <f t="shared" si="23"/>
        <v>22577</v>
      </c>
      <c r="K761" s="199">
        <v>3.67</v>
      </c>
      <c r="L761" s="199">
        <v>2.4300000000000002</v>
      </c>
    </row>
    <row r="762" spans="1:12" ht="15" customHeight="1" x14ac:dyDescent="0.25">
      <c r="A762" s="49">
        <v>1984</v>
      </c>
      <c r="B762" s="330" t="s">
        <v>23</v>
      </c>
      <c r="C762" s="331">
        <v>4901198134</v>
      </c>
      <c r="D762" s="331">
        <v>2328528938</v>
      </c>
      <c r="E762" s="331">
        <v>85236269</v>
      </c>
      <c r="F762" s="331">
        <v>56864</v>
      </c>
      <c r="G762" s="332">
        <f t="shared" si="22"/>
        <v>1.1602061056362918E-5</v>
      </c>
      <c r="H762" s="331">
        <v>57510</v>
      </c>
      <c r="I762" s="331">
        <v>0</v>
      </c>
      <c r="J762" s="331">
        <f t="shared" si="23"/>
        <v>57510</v>
      </c>
      <c r="K762" s="199">
        <v>3.66</v>
      </c>
      <c r="L762" s="199">
        <v>2.4300000000000002</v>
      </c>
    </row>
    <row r="763" spans="1:12" ht="15" customHeight="1" x14ac:dyDescent="0.25">
      <c r="A763" s="49">
        <v>1985</v>
      </c>
      <c r="B763" s="330" t="s">
        <v>23</v>
      </c>
      <c r="C763" s="331">
        <v>5245061994</v>
      </c>
      <c r="D763" s="331">
        <v>2430456458</v>
      </c>
      <c r="E763" s="331">
        <v>76061809</v>
      </c>
      <c r="F763" s="331">
        <v>65320</v>
      </c>
      <c r="G763" s="332">
        <f t="shared" si="22"/>
        <v>1.2453618293686844E-5</v>
      </c>
      <c r="H763" s="331">
        <v>77784</v>
      </c>
      <c r="I763" s="331">
        <v>0</v>
      </c>
      <c r="J763" s="331">
        <f t="shared" si="23"/>
        <v>77784</v>
      </c>
      <c r="K763" s="199">
        <v>3.13</v>
      </c>
      <c r="L763" s="199">
        <v>2.4300000000000002</v>
      </c>
    </row>
    <row r="764" spans="1:12" ht="15" customHeight="1" x14ac:dyDescent="0.25">
      <c r="A764" s="49">
        <v>1986</v>
      </c>
      <c r="B764" s="330" t="s">
        <v>23</v>
      </c>
      <c r="C764" s="331">
        <v>5831661335</v>
      </c>
      <c r="D764" s="331">
        <v>2595076077</v>
      </c>
      <c r="E764" s="331">
        <v>70044521</v>
      </c>
      <c r="F764" s="331">
        <v>56057</v>
      </c>
      <c r="G764" s="332">
        <f t="shared" si="22"/>
        <v>9.6125266506066753E-6</v>
      </c>
      <c r="H764" s="331">
        <v>100967</v>
      </c>
      <c r="I764" s="331">
        <v>0</v>
      </c>
      <c r="J764" s="331">
        <f t="shared" si="23"/>
        <v>100967</v>
      </c>
      <c r="K764" s="199">
        <v>2.7</v>
      </c>
      <c r="L764" s="199">
        <v>2.4300000000000002</v>
      </c>
    </row>
    <row r="765" spans="1:12" ht="15" customHeight="1" x14ac:dyDescent="0.25">
      <c r="A765" s="49">
        <v>1987</v>
      </c>
      <c r="B765" s="330" t="s">
        <v>23</v>
      </c>
      <c r="C765" s="331">
        <v>6544733482</v>
      </c>
      <c r="D765" s="331">
        <v>2820644285</v>
      </c>
      <c r="E765" s="331">
        <v>75404632</v>
      </c>
      <c r="F765" s="331">
        <v>48601</v>
      </c>
      <c r="G765" s="332">
        <f t="shared" si="22"/>
        <v>7.4259708410842816E-6</v>
      </c>
      <c r="H765" s="331">
        <v>138273</v>
      </c>
      <c r="I765" s="331">
        <v>0</v>
      </c>
      <c r="J765" s="331">
        <f t="shared" si="23"/>
        <v>138273</v>
      </c>
      <c r="K765" s="199">
        <v>2.67</v>
      </c>
      <c r="L765" s="199">
        <v>2.4300000000000002</v>
      </c>
    </row>
    <row r="766" spans="1:12" ht="15" customHeight="1" x14ac:dyDescent="0.25">
      <c r="A766" s="49">
        <v>1988</v>
      </c>
      <c r="B766" s="330" t="s">
        <v>23</v>
      </c>
      <c r="C766" s="331">
        <v>7273662054</v>
      </c>
      <c r="D766" s="331">
        <v>3002514878</v>
      </c>
      <c r="E766" s="331">
        <v>76058771</v>
      </c>
      <c r="F766" s="331">
        <v>49388</v>
      </c>
      <c r="G766" s="332">
        <f t="shared" si="22"/>
        <v>6.7899772677560803E-6</v>
      </c>
      <c r="H766" s="331">
        <v>179949</v>
      </c>
      <c r="I766" s="331">
        <v>0</v>
      </c>
      <c r="J766" s="331">
        <f t="shared" si="23"/>
        <v>179949</v>
      </c>
      <c r="K766" s="199">
        <v>2.5299999999999998</v>
      </c>
      <c r="L766" s="199">
        <v>2.4300000000000002</v>
      </c>
    </row>
    <row r="767" spans="1:12" ht="15" customHeight="1" x14ac:dyDescent="0.25">
      <c r="A767" s="49">
        <v>1989</v>
      </c>
      <c r="B767" s="330" t="s">
        <v>23</v>
      </c>
      <c r="C767" s="331">
        <v>7755793080</v>
      </c>
      <c r="D767" s="331">
        <v>3075764560</v>
      </c>
      <c r="E767" s="331">
        <v>74267252</v>
      </c>
      <c r="F767" s="331">
        <v>65808</v>
      </c>
      <c r="G767" s="332">
        <f t="shared" si="22"/>
        <v>8.4850123412524055E-6</v>
      </c>
      <c r="H767" s="331">
        <v>206353</v>
      </c>
      <c r="I767" s="331">
        <v>0</v>
      </c>
      <c r="J767" s="331">
        <f t="shared" si="23"/>
        <v>206353</v>
      </c>
      <c r="K767" s="199">
        <v>2.41</v>
      </c>
      <c r="L767" s="199">
        <v>2.4300000000000002</v>
      </c>
    </row>
    <row r="768" spans="1:12" ht="15" customHeight="1" x14ac:dyDescent="0.25">
      <c r="A768" s="49">
        <v>1990</v>
      </c>
      <c r="B768" s="330" t="s">
        <v>23</v>
      </c>
      <c r="C768" s="331">
        <v>7931531548</v>
      </c>
      <c r="D768" s="331">
        <v>2978599948</v>
      </c>
      <c r="E768" s="331">
        <v>68812987</v>
      </c>
      <c r="F768" s="331">
        <v>110929</v>
      </c>
      <c r="G768" s="332">
        <f t="shared" si="22"/>
        <v>1.3985823460283865E-5</v>
      </c>
      <c r="H768" s="331">
        <v>181547</v>
      </c>
      <c r="I768" s="331">
        <v>0</v>
      </c>
      <c r="J768" s="331">
        <f t="shared" si="23"/>
        <v>181547</v>
      </c>
      <c r="K768" s="199">
        <v>2.31</v>
      </c>
      <c r="L768" s="199">
        <v>2.4300000000000002</v>
      </c>
    </row>
    <row r="769" spans="1:12" ht="15" customHeight="1" x14ac:dyDescent="0.25">
      <c r="A769" s="49">
        <v>1991</v>
      </c>
      <c r="B769" s="330" t="s">
        <v>23</v>
      </c>
      <c r="C769" s="331">
        <v>7678622534</v>
      </c>
      <c r="D769" s="331">
        <v>2788669270</v>
      </c>
      <c r="E769" s="331">
        <v>66965835</v>
      </c>
      <c r="F769" s="331">
        <v>169259</v>
      </c>
      <c r="G769" s="332">
        <f t="shared" si="22"/>
        <v>2.2042885849713523E-5</v>
      </c>
      <c r="H769" s="331">
        <v>77553</v>
      </c>
      <c r="I769" s="331">
        <v>0</v>
      </c>
      <c r="J769" s="331">
        <f t="shared" si="23"/>
        <v>77553</v>
      </c>
      <c r="K769" s="199">
        <v>2.4</v>
      </c>
      <c r="L769" s="199">
        <v>2.46</v>
      </c>
    </row>
    <row r="770" spans="1:12" ht="15" customHeight="1" x14ac:dyDescent="0.25">
      <c r="A770" s="49">
        <v>1992</v>
      </c>
      <c r="B770" s="330" t="s">
        <v>23</v>
      </c>
      <c r="C770" s="331">
        <v>7995875476</v>
      </c>
      <c r="D770" s="331">
        <v>2813878541</v>
      </c>
      <c r="E770" s="331">
        <v>89555319</v>
      </c>
      <c r="F770" s="331">
        <v>136793</v>
      </c>
      <c r="G770" s="332">
        <f t="shared" ref="G770:G833" si="24">F770/C770</f>
        <v>1.7107945266355222E-5</v>
      </c>
      <c r="H770" s="331">
        <v>35108</v>
      </c>
      <c r="I770" s="331">
        <v>0</v>
      </c>
      <c r="J770" s="331">
        <f t="shared" ref="J770:J833" si="25">H770-I770</f>
        <v>35108</v>
      </c>
      <c r="K770" s="199">
        <v>3.18</v>
      </c>
      <c r="L770" s="199">
        <v>2.46</v>
      </c>
    </row>
    <row r="771" spans="1:12" x14ac:dyDescent="0.25">
      <c r="A771" s="49">
        <v>1993</v>
      </c>
      <c r="B771" s="330" t="s">
        <v>23</v>
      </c>
      <c r="C771" s="331">
        <v>8244079929</v>
      </c>
      <c r="D771" s="331">
        <v>2868743250</v>
      </c>
      <c r="E771" s="331">
        <v>117183115</v>
      </c>
      <c r="F771" s="331">
        <v>96124</v>
      </c>
      <c r="G771" s="332">
        <f t="shared" si="24"/>
        <v>1.1659760801428785E-5</v>
      </c>
      <c r="H771" s="331">
        <v>51403</v>
      </c>
      <c r="I771" s="331">
        <v>0</v>
      </c>
      <c r="J771" s="331">
        <f t="shared" si="25"/>
        <v>51403</v>
      </c>
      <c r="K771" s="199">
        <v>4.08</v>
      </c>
      <c r="L771" s="199">
        <v>2.46</v>
      </c>
    </row>
    <row r="772" spans="1:12" ht="15" customHeight="1" x14ac:dyDescent="0.25">
      <c r="A772" s="49">
        <v>1994</v>
      </c>
      <c r="B772" s="330" t="s">
        <v>23</v>
      </c>
      <c r="C772" s="331">
        <v>8612140230</v>
      </c>
      <c r="D772" s="331">
        <v>2966815820</v>
      </c>
      <c r="E772" s="331">
        <v>125197945</v>
      </c>
      <c r="F772" s="331">
        <v>102504</v>
      </c>
      <c r="G772" s="332">
        <f t="shared" si="24"/>
        <v>1.1902267875635833E-5</v>
      </c>
      <c r="H772" s="331">
        <v>74621</v>
      </c>
      <c r="I772" s="331">
        <v>0</v>
      </c>
      <c r="J772" s="331">
        <f t="shared" si="25"/>
        <v>74621</v>
      </c>
      <c r="K772" s="199">
        <v>4.22</v>
      </c>
      <c r="L772" s="199">
        <v>2.46</v>
      </c>
    </row>
    <row r="773" spans="1:12" ht="15" customHeight="1" x14ac:dyDescent="0.25">
      <c r="A773" s="49">
        <v>1995</v>
      </c>
      <c r="B773" s="330" t="s">
        <v>23</v>
      </c>
      <c r="C773" s="331">
        <v>9006873139</v>
      </c>
      <c r="D773" s="331">
        <v>3040493429</v>
      </c>
      <c r="E773" s="331">
        <v>114531556</v>
      </c>
      <c r="F773" s="331">
        <v>101506</v>
      </c>
      <c r="G773" s="332">
        <f t="shared" si="24"/>
        <v>1.1269837870867341E-5</v>
      </c>
      <c r="H773" s="331">
        <v>95289</v>
      </c>
      <c r="I773" s="331">
        <v>0</v>
      </c>
      <c r="J773" s="331">
        <f t="shared" si="25"/>
        <v>95289</v>
      </c>
      <c r="K773" s="199">
        <v>3.77</v>
      </c>
      <c r="L773" s="199">
        <v>2.19</v>
      </c>
    </row>
    <row r="774" spans="1:12" ht="15" customHeight="1" x14ac:dyDescent="0.25">
      <c r="A774" s="49">
        <v>1996</v>
      </c>
      <c r="B774" s="330" t="s">
        <v>23</v>
      </c>
      <c r="C774" s="331">
        <v>9431395139</v>
      </c>
      <c r="D774" s="331">
        <v>3112208773</v>
      </c>
      <c r="E774" s="331">
        <v>115742463</v>
      </c>
      <c r="F774" s="331">
        <v>103091</v>
      </c>
      <c r="G774" s="332">
        <f t="shared" si="24"/>
        <v>1.093062038867461E-5</v>
      </c>
      <c r="H774" s="331">
        <v>112122</v>
      </c>
      <c r="I774" s="331">
        <v>0</v>
      </c>
      <c r="J774" s="331">
        <f t="shared" si="25"/>
        <v>112122</v>
      </c>
      <c r="K774" s="199">
        <v>3.72</v>
      </c>
      <c r="L774" s="199">
        <v>2.11</v>
      </c>
    </row>
    <row r="775" spans="1:12" ht="15" customHeight="1" x14ac:dyDescent="0.25">
      <c r="A775" s="49">
        <v>1997</v>
      </c>
      <c r="B775" s="330" t="s">
        <v>23</v>
      </c>
      <c r="C775" s="331">
        <v>10125905734</v>
      </c>
      <c r="D775" s="331">
        <v>3240863005</v>
      </c>
      <c r="E775" s="331">
        <v>104797259</v>
      </c>
      <c r="F775" s="331">
        <v>92796</v>
      </c>
      <c r="G775" s="332">
        <f t="shared" si="24"/>
        <v>9.1642172500595786E-6</v>
      </c>
      <c r="H775" s="331">
        <v>136019</v>
      </c>
      <c r="I775" s="331">
        <v>0</v>
      </c>
      <c r="J775" s="331">
        <f t="shared" si="25"/>
        <v>136019</v>
      </c>
      <c r="K775" s="199">
        <v>3.23</v>
      </c>
      <c r="L775" s="199">
        <v>1.94</v>
      </c>
    </row>
    <row r="776" spans="1:12" ht="15" customHeight="1" x14ac:dyDescent="0.25">
      <c r="A776" s="49">
        <v>1998</v>
      </c>
      <c r="B776" s="330" t="s">
        <v>23</v>
      </c>
      <c r="C776" s="331">
        <v>10830761415</v>
      </c>
      <c r="D776" s="331">
        <v>3371028666</v>
      </c>
      <c r="E776" s="331">
        <v>122642303</v>
      </c>
      <c r="F776" s="331">
        <v>81307</v>
      </c>
      <c r="G776" s="332">
        <f t="shared" si="24"/>
        <v>7.5070437695538513E-6</v>
      </c>
      <c r="H776" s="331">
        <v>186441</v>
      </c>
      <c r="I776" s="331">
        <v>0</v>
      </c>
      <c r="J776" s="331">
        <f t="shared" si="25"/>
        <v>186441</v>
      </c>
      <c r="K776" s="199">
        <v>3.64</v>
      </c>
      <c r="L776" s="199">
        <v>1.94</v>
      </c>
    </row>
    <row r="777" spans="1:12" ht="15" customHeight="1" x14ac:dyDescent="0.25">
      <c r="A777" s="49">
        <v>1999</v>
      </c>
      <c r="B777" s="330" t="s">
        <v>23</v>
      </c>
      <c r="C777" s="331">
        <v>11619237331</v>
      </c>
      <c r="D777" s="331">
        <v>3531725956</v>
      </c>
      <c r="E777" s="331">
        <v>127364636</v>
      </c>
      <c r="F777" s="331">
        <v>77875</v>
      </c>
      <c r="G777" s="332">
        <f t="shared" si="24"/>
        <v>6.7022471253109133E-6</v>
      </c>
      <c r="H777" s="331">
        <v>251774</v>
      </c>
      <c r="I777" s="331">
        <v>0</v>
      </c>
      <c r="J777" s="331">
        <f t="shared" si="25"/>
        <v>251774</v>
      </c>
      <c r="K777" s="199">
        <v>3.61</v>
      </c>
      <c r="L777" s="199">
        <v>1.94</v>
      </c>
    </row>
    <row r="778" spans="1:12" ht="15" customHeight="1" x14ac:dyDescent="0.25">
      <c r="A778" s="49">
        <v>2000</v>
      </c>
      <c r="B778" s="330" t="s">
        <v>23</v>
      </c>
      <c r="C778" s="331">
        <v>12270123773</v>
      </c>
      <c r="D778" s="331">
        <v>5381931416</v>
      </c>
      <c r="E778" s="331">
        <v>140653850</v>
      </c>
      <c r="F778" s="331">
        <v>73412</v>
      </c>
      <c r="G778" s="332">
        <f t="shared" si="24"/>
        <v>5.9829877316755899E-6</v>
      </c>
      <c r="H778" s="331">
        <v>339578</v>
      </c>
      <c r="I778" s="331">
        <v>0</v>
      </c>
      <c r="J778" s="331">
        <f t="shared" si="25"/>
        <v>339578</v>
      </c>
      <c r="K778" s="199">
        <v>2.61</v>
      </c>
      <c r="L778" s="199">
        <v>1.94</v>
      </c>
    </row>
    <row r="779" spans="1:12" ht="15" customHeight="1" x14ac:dyDescent="0.25">
      <c r="A779" s="49">
        <v>2001</v>
      </c>
      <c r="B779" s="330" t="s">
        <v>23</v>
      </c>
      <c r="C779" s="331">
        <v>12723407770</v>
      </c>
      <c r="D779" s="331">
        <v>5403262716</v>
      </c>
      <c r="E779" s="331">
        <v>148685691</v>
      </c>
      <c r="F779" s="331">
        <v>96830</v>
      </c>
      <c r="G779" s="332">
        <f t="shared" si="24"/>
        <v>7.6103825131118943E-6</v>
      </c>
      <c r="H779" s="331">
        <v>410305</v>
      </c>
      <c r="I779" s="331">
        <v>0</v>
      </c>
      <c r="J779" s="331">
        <f t="shared" si="25"/>
        <v>410305</v>
      </c>
      <c r="K779" s="199">
        <v>2.75</v>
      </c>
      <c r="L779" s="199">
        <v>1.94</v>
      </c>
    </row>
    <row r="780" spans="1:12" ht="15" customHeight="1" x14ac:dyDescent="0.25">
      <c r="A780" s="49">
        <v>2002</v>
      </c>
      <c r="B780" s="330" t="s">
        <v>23</v>
      </c>
      <c r="C780" s="331">
        <v>12904654108</v>
      </c>
      <c r="D780" s="331">
        <v>5345338383</v>
      </c>
      <c r="E780" s="331">
        <v>98545476</v>
      </c>
      <c r="F780" s="331">
        <v>116974</v>
      </c>
      <c r="G780" s="332">
        <f t="shared" si="24"/>
        <v>9.0644816219819606E-6</v>
      </c>
      <c r="H780" s="331">
        <v>455104</v>
      </c>
      <c r="I780" s="331">
        <v>0</v>
      </c>
      <c r="J780" s="331">
        <f t="shared" si="25"/>
        <v>455104</v>
      </c>
      <c r="K780" s="199">
        <v>1.84</v>
      </c>
      <c r="L780" s="199">
        <v>1.94</v>
      </c>
    </row>
    <row r="781" spans="1:12" ht="15" customHeight="1" x14ac:dyDescent="0.25">
      <c r="A781" s="49">
        <v>2003</v>
      </c>
      <c r="B781" s="330" t="s">
        <v>23</v>
      </c>
      <c r="C781" s="331">
        <v>13255096976</v>
      </c>
      <c r="D781" s="331">
        <v>5372641502</v>
      </c>
      <c r="E781" s="331">
        <v>80384646</v>
      </c>
      <c r="F781" s="331">
        <v>122017</v>
      </c>
      <c r="G781" s="332">
        <f t="shared" si="24"/>
        <v>9.2052891216810361E-6</v>
      </c>
      <c r="H781" s="331">
        <v>438298</v>
      </c>
      <c r="I781" s="331">
        <v>0</v>
      </c>
      <c r="J781" s="331">
        <f t="shared" si="25"/>
        <v>438298</v>
      </c>
      <c r="K781" s="199">
        <v>1.5</v>
      </c>
      <c r="L781" s="199">
        <v>1.94</v>
      </c>
    </row>
    <row r="782" spans="1:12" ht="15" customHeight="1" x14ac:dyDescent="0.25">
      <c r="A782" s="49">
        <v>2004</v>
      </c>
      <c r="B782" s="330" t="s">
        <v>23</v>
      </c>
      <c r="C782" s="331">
        <v>13869937098</v>
      </c>
      <c r="D782" s="331">
        <v>5477896620</v>
      </c>
      <c r="E782" s="331">
        <v>82751229</v>
      </c>
      <c r="F782" s="331">
        <v>110326</v>
      </c>
      <c r="G782" s="332">
        <f t="shared" si="24"/>
        <v>7.9543259079313816E-6</v>
      </c>
      <c r="H782" s="331">
        <v>436613</v>
      </c>
      <c r="I782" s="331">
        <v>0</v>
      </c>
      <c r="J782" s="331">
        <f t="shared" si="25"/>
        <v>436613</v>
      </c>
      <c r="K782" s="199">
        <v>1.51</v>
      </c>
      <c r="L782" s="199">
        <v>1.94</v>
      </c>
    </row>
    <row r="783" spans="1:12" ht="15" customHeight="1" x14ac:dyDescent="0.25">
      <c r="A783" s="49">
        <v>2005</v>
      </c>
      <c r="B783" s="330" t="s">
        <v>23</v>
      </c>
      <c r="C783" s="331">
        <v>14020212872</v>
      </c>
      <c r="D783" s="331">
        <v>5451372120</v>
      </c>
      <c r="E783" s="331">
        <v>95661969</v>
      </c>
      <c r="F783" s="331">
        <v>105986</v>
      </c>
      <c r="G783" s="332">
        <f t="shared" si="24"/>
        <v>7.5595143217594362E-6</v>
      </c>
      <c r="H783" s="331">
        <v>445671</v>
      </c>
      <c r="I783" s="331">
        <v>0</v>
      </c>
      <c r="J783" s="331">
        <f t="shared" si="25"/>
        <v>445671</v>
      </c>
      <c r="K783" s="199">
        <v>1.75</v>
      </c>
      <c r="L783" s="199">
        <v>1.94</v>
      </c>
    </row>
    <row r="784" spans="1:12" ht="15" customHeight="1" x14ac:dyDescent="0.25">
      <c r="A784" s="49">
        <v>2006</v>
      </c>
      <c r="B784" s="330" t="s">
        <v>23</v>
      </c>
      <c r="C784" s="331">
        <v>14515723735</v>
      </c>
      <c r="D784" s="331">
        <v>5522671845</v>
      </c>
      <c r="E784" s="331">
        <v>99303597</v>
      </c>
      <c r="F784" s="331">
        <v>99768</v>
      </c>
      <c r="G784" s="332">
        <f t="shared" si="24"/>
        <v>6.8730985668624671E-6</v>
      </c>
      <c r="H784" s="331">
        <v>463521</v>
      </c>
      <c r="I784" s="331">
        <v>0</v>
      </c>
      <c r="J784" s="331">
        <f t="shared" si="25"/>
        <v>463521</v>
      </c>
      <c r="K784" s="199">
        <v>1.8</v>
      </c>
      <c r="L784" s="199">
        <v>1.94</v>
      </c>
    </row>
    <row r="785" spans="1:12" ht="15" customHeight="1" x14ac:dyDescent="0.25">
      <c r="A785" s="49">
        <v>2007</v>
      </c>
      <c r="B785" s="330" t="s">
        <v>23</v>
      </c>
      <c r="C785" s="331">
        <v>15093423113</v>
      </c>
      <c r="D785" s="331">
        <v>5593306865</v>
      </c>
      <c r="E785" s="331">
        <v>101715301</v>
      </c>
      <c r="F785" s="331">
        <v>108242</v>
      </c>
      <c r="G785" s="332">
        <f t="shared" si="24"/>
        <v>7.1714679426677515E-6</v>
      </c>
      <c r="H785" s="331">
        <v>479164</v>
      </c>
      <c r="I785" s="331">
        <v>0</v>
      </c>
      <c r="J785" s="331">
        <f t="shared" si="25"/>
        <v>479164</v>
      </c>
      <c r="K785" s="199">
        <v>1.82</v>
      </c>
      <c r="L785" s="199">
        <v>1.94</v>
      </c>
    </row>
    <row r="786" spans="1:12" ht="15" customHeight="1" x14ac:dyDescent="0.25">
      <c r="A786" s="49">
        <v>2008</v>
      </c>
      <c r="B786" s="330" t="s">
        <v>23</v>
      </c>
      <c r="C786" s="331">
        <v>15447488408</v>
      </c>
      <c r="D786" s="331">
        <v>5541635439</v>
      </c>
      <c r="E786" s="331">
        <v>87822436</v>
      </c>
      <c r="F786" s="331">
        <v>135881</v>
      </c>
      <c r="G786" s="332">
        <f t="shared" si="24"/>
        <v>8.7963166834052752E-6</v>
      </c>
      <c r="H786" s="331">
        <v>453214</v>
      </c>
      <c r="I786" s="331">
        <v>0</v>
      </c>
      <c r="J786" s="331">
        <f t="shared" si="25"/>
        <v>453214</v>
      </c>
      <c r="K786" s="199">
        <v>1.6</v>
      </c>
      <c r="L786" s="199">
        <v>1.94</v>
      </c>
    </row>
    <row r="787" spans="1:12" ht="15" customHeight="1" x14ac:dyDescent="0.25">
      <c r="A787" s="49">
        <v>2009</v>
      </c>
      <c r="B787" s="330" t="s">
        <v>23</v>
      </c>
      <c r="C787" s="331">
        <v>14693535273</v>
      </c>
      <c r="D787" s="331">
        <v>5243279270</v>
      </c>
      <c r="E787" s="331">
        <v>83512476</v>
      </c>
      <c r="F787" s="331">
        <v>245191</v>
      </c>
      <c r="G787" s="332">
        <f t="shared" si="24"/>
        <v>1.6686998427842548E-5</v>
      </c>
      <c r="H787" s="331">
        <v>335162</v>
      </c>
      <c r="I787" s="331">
        <v>0</v>
      </c>
      <c r="J787" s="331">
        <f t="shared" si="25"/>
        <v>335162</v>
      </c>
      <c r="K787" s="199">
        <v>1.6</v>
      </c>
      <c r="L787" s="199">
        <v>1.9</v>
      </c>
    </row>
    <row r="788" spans="1:12" ht="15" customHeight="1" x14ac:dyDescent="0.25">
      <c r="A788" s="49">
        <v>2010</v>
      </c>
      <c r="B788" s="330" t="s">
        <v>23</v>
      </c>
      <c r="C788" s="331">
        <v>14896569069</v>
      </c>
      <c r="D788" s="331">
        <v>5223198642</v>
      </c>
      <c r="E788" s="331">
        <v>139477227</v>
      </c>
      <c r="F788" s="331">
        <v>198632</v>
      </c>
      <c r="G788" s="332">
        <f t="shared" si="24"/>
        <v>1.3334077067004401E-5</v>
      </c>
      <c r="H788" s="331">
        <v>278708</v>
      </c>
      <c r="I788" s="331">
        <v>0</v>
      </c>
      <c r="J788" s="331">
        <f t="shared" si="25"/>
        <v>278708</v>
      </c>
      <c r="K788" s="199">
        <v>2.7</v>
      </c>
      <c r="L788" s="199">
        <v>1.9</v>
      </c>
    </row>
    <row r="789" spans="1:12" ht="15" customHeight="1" x14ac:dyDescent="0.25">
      <c r="A789" s="49">
        <v>2011</v>
      </c>
      <c r="B789" s="330" t="s">
        <v>23</v>
      </c>
      <c r="C789" s="331">
        <v>15306065015</v>
      </c>
      <c r="D789" s="331">
        <v>5300652578</v>
      </c>
      <c r="E789" s="331">
        <v>159049091</v>
      </c>
      <c r="F789" s="331">
        <v>174983</v>
      </c>
      <c r="G789" s="332">
        <f t="shared" si="24"/>
        <v>1.1432265564566465E-5</v>
      </c>
      <c r="H789" s="331">
        <v>269493</v>
      </c>
      <c r="I789" s="331">
        <v>0</v>
      </c>
      <c r="J789" s="331">
        <f t="shared" si="25"/>
        <v>269493</v>
      </c>
      <c r="K789" s="199">
        <v>3</v>
      </c>
      <c r="L789" s="199">
        <v>1.9</v>
      </c>
    </row>
    <row r="790" spans="1:12" ht="15" customHeight="1" x14ac:dyDescent="0.25">
      <c r="A790" s="49">
        <v>2012</v>
      </c>
      <c r="B790" s="330" t="s">
        <v>23</v>
      </c>
      <c r="C790" s="331">
        <v>15644913998</v>
      </c>
      <c r="D790" s="331">
        <v>5344811334</v>
      </c>
      <c r="E790" s="331">
        <v>163842882</v>
      </c>
      <c r="F790" s="331">
        <v>163455</v>
      </c>
      <c r="G790" s="332">
        <f t="shared" si="24"/>
        <v>1.0447804316527123E-5</v>
      </c>
      <c r="H790" s="331">
        <v>277556</v>
      </c>
      <c r="I790" s="331">
        <v>0</v>
      </c>
      <c r="J790" s="331">
        <f t="shared" si="25"/>
        <v>277556</v>
      </c>
      <c r="K790" s="199">
        <v>3.07</v>
      </c>
      <c r="L790" s="199">
        <v>1.9</v>
      </c>
    </row>
    <row r="791" spans="1:12" ht="15" customHeight="1" x14ac:dyDescent="0.25">
      <c r="A791" s="49">
        <v>2013</v>
      </c>
      <c r="B791" s="330" t="s">
        <v>23</v>
      </c>
      <c r="C791" s="331">
        <v>16060706851</v>
      </c>
      <c r="D791" s="331">
        <v>5442679204</v>
      </c>
      <c r="E791" s="331">
        <v>169519089</v>
      </c>
      <c r="F791" s="331">
        <v>151445</v>
      </c>
      <c r="G791" s="332">
        <f t="shared" si="24"/>
        <v>9.4295351633648974E-6</v>
      </c>
      <c r="H791" s="331">
        <v>296781</v>
      </c>
      <c r="I791" s="331">
        <v>0</v>
      </c>
      <c r="J791" s="331">
        <f t="shared" si="25"/>
        <v>296781</v>
      </c>
      <c r="K791" s="199">
        <v>3.11</v>
      </c>
      <c r="L791" s="199">
        <v>1.9</v>
      </c>
    </row>
    <row r="792" spans="1:12" ht="15" customHeight="1" x14ac:dyDescent="0.25">
      <c r="A792" s="49">
        <v>2014</v>
      </c>
      <c r="B792" s="330" t="s">
        <v>23</v>
      </c>
      <c r="C792" s="331">
        <v>16695848575</v>
      </c>
      <c r="D792" s="331">
        <v>5562406524</v>
      </c>
      <c r="E792" s="331">
        <v>143385465</v>
      </c>
      <c r="F792" s="331">
        <v>135407</v>
      </c>
      <c r="G792" s="332">
        <f t="shared" si="24"/>
        <v>8.1102196987313062E-6</v>
      </c>
      <c r="H792" s="331">
        <v>315785</v>
      </c>
      <c r="I792" s="331">
        <v>0</v>
      </c>
      <c r="J792" s="331">
        <f t="shared" si="25"/>
        <v>315785</v>
      </c>
      <c r="K792" s="333">
        <v>2.5777595431282792</v>
      </c>
      <c r="L792" s="199">
        <v>1.9</v>
      </c>
    </row>
    <row r="793" spans="1:12" ht="15" customHeight="1" x14ac:dyDescent="0.25">
      <c r="A793" s="49">
        <v>2015</v>
      </c>
      <c r="B793" s="330" t="s">
        <v>23</v>
      </c>
      <c r="C793" s="334">
        <v>17438962000</v>
      </c>
      <c r="D793" s="334">
        <v>5707831000</v>
      </c>
      <c r="E793" s="334">
        <v>146318000</v>
      </c>
      <c r="F793" s="331">
        <v>109257</v>
      </c>
      <c r="G793" s="332">
        <f t="shared" si="24"/>
        <v>6.2651091274813258E-6</v>
      </c>
      <c r="H793" s="331">
        <v>356865</v>
      </c>
      <c r="I793" s="199">
        <v>0</v>
      </c>
      <c r="J793" s="331">
        <f t="shared" si="25"/>
        <v>356865</v>
      </c>
      <c r="K793" s="199">
        <v>2.6</v>
      </c>
      <c r="L793" s="199">
        <v>1.9</v>
      </c>
    </row>
    <row r="794" spans="1:12" ht="15" customHeight="1" x14ac:dyDescent="0.25">
      <c r="A794" s="49">
        <v>1980</v>
      </c>
      <c r="B794" s="330" t="s">
        <v>24</v>
      </c>
      <c r="C794" s="331">
        <v>44713407960</v>
      </c>
      <c r="D794" s="331">
        <v>16441101487</v>
      </c>
      <c r="E794" s="331">
        <v>613514502</v>
      </c>
      <c r="F794" s="331">
        <v>1141476</v>
      </c>
      <c r="G794" s="332">
        <f t="shared" si="24"/>
        <v>2.5528718388478659E-5</v>
      </c>
      <c r="H794" s="331">
        <v>208512</v>
      </c>
      <c r="I794" s="331">
        <v>842000</v>
      </c>
      <c r="J794" s="331">
        <f t="shared" si="25"/>
        <v>-633488</v>
      </c>
      <c r="K794" s="199">
        <v>3.73</v>
      </c>
      <c r="L794" s="199">
        <v>2.8</v>
      </c>
    </row>
    <row r="795" spans="1:12" ht="15" customHeight="1" x14ac:dyDescent="0.25">
      <c r="A795" s="49">
        <v>1981</v>
      </c>
      <c r="B795" s="330" t="s">
        <v>24</v>
      </c>
      <c r="C795" s="331">
        <v>47326645889</v>
      </c>
      <c r="D795" s="331">
        <v>16208936362</v>
      </c>
      <c r="E795" s="331">
        <v>621796018</v>
      </c>
      <c r="F795" s="331">
        <v>935815</v>
      </c>
      <c r="G795" s="332">
        <f t="shared" si="24"/>
        <v>1.9773533121169462E-5</v>
      </c>
      <c r="H795" s="331">
        <v>8822</v>
      </c>
      <c r="I795" s="331">
        <v>1075000</v>
      </c>
      <c r="J795" s="331">
        <f t="shared" si="25"/>
        <v>-1066178</v>
      </c>
      <c r="K795" s="199">
        <v>3.84</v>
      </c>
      <c r="L795" s="199">
        <v>2.82</v>
      </c>
    </row>
    <row r="796" spans="1:12" ht="15" customHeight="1" x14ac:dyDescent="0.25">
      <c r="A796" s="49">
        <v>1982</v>
      </c>
      <c r="B796" s="330" t="s">
        <v>24</v>
      </c>
      <c r="C796" s="331">
        <v>45796673092</v>
      </c>
      <c r="D796" s="331">
        <v>15225690841</v>
      </c>
      <c r="E796" s="331">
        <v>597423451</v>
      </c>
      <c r="F796" s="331">
        <v>1524401</v>
      </c>
      <c r="G796" s="332">
        <f t="shared" si="24"/>
        <v>3.3286282541477674E-5</v>
      </c>
      <c r="H796" s="331">
        <v>0</v>
      </c>
      <c r="I796" s="331">
        <v>2185816</v>
      </c>
      <c r="J796" s="331">
        <f t="shared" si="25"/>
        <v>-2185816</v>
      </c>
      <c r="K796" s="199">
        <v>3.92</v>
      </c>
      <c r="L796" s="199">
        <v>3.31</v>
      </c>
    </row>
    <row r="797" spans="1:12" ht="15" customHeight="1" x14ac:dyDescent="0.25">
      <c r="A797" s="49">
        <v>1983</v>
      </c>
      <c r="B797" s="330" t="s">
        <v>24</v>
      </c>
      <c r="C797" s="331">
        <v>48631211055</v>
      </c>
      <c r="D797" s="331">
        <v>19112477091</v>
      </c>
      <c r="E797" s="331">
        <v>887077901</v>
      </c>
      <c r="F797" s="331">
        <v>945485</v>
      </c>
      <c r="G797" s="332">
        <f t="shared" si="24"/>
        <v>1.9441938201594311E-5</v>
      </c>
      <c r="H797" s="331">
        <v>0</v>
      </c>
      <c r="I797" s="331">
        <v>2322272</v>
      </c>
      <c r="J797" s="331">
        <f t="shared" si="25"/>
        <v>-2322272</v>
      </c>
      <c r="K797" s="199">
        <v>4.6399999999999997</v>
      </c>
      <c r="L797" s="199">
        <v>3.31</v>
      </c>
    </row>
    <row r="798" spans="1:12" ht="15" customHeight="1" x14ac:dyDescent="0.25">
      <c r="A798" s="49">
        <v>1984</v>
      </c>
      <c r="B798" s="330" t="s">
        <v>24</v>
      </c>
      <c r="C798" s="331">
        <v>55028004476</v>
      </c>
      <c r="D798" s="331">
        <v>21511830629</v>
      </c>
      <c r="E798" s="331">
        <v>1165391401</v>
      </c>
      <c r="F798" s="331">
        <v>586389</v>
      </c>
      <c r="G798" s="332">
        <f t="shared" si="24"/>
        <v>1.0656192343950045E-5</v>
      </c>
      <c r="H798" s="331">
        <v>0</v>
      </c>
      <c r="I798" s="331">
        <v>1665761</v>
      </c>
      <c r="J798" s="331">
        <f t="shared" si="25"/>
        <v>-1665761</v>
      </c>
      <c r="K798" s="199">
        <v>5.42</v>
      </c>
      <c r="L798" s="199">
        <v>3.31</v>
      </c>
    </row>
    <row r="799" spans="1:12" ht="15" customHeight="1" x14ac:dyDescent="0.25">
      <c r="A799" s="49">
        <v>1985</v>
      </c>
      <c r="B799" s="330" t="s">
        <v>24</v>
      </c>
      <c r="C799" s="331">
        <v>61597127516</v>
      </c>
      <c r="D799" s="331">
        <v>23946765581</v>
      </c>
      <c r="E799" s="331">
        <v>1367031822</v>
      </c>
      <c r="F799" s="331">
        <v>640509</v>
      </c>
      <c r="G799" s="332">
        <f t="shared" si="24"/>
        <v>1.0398358264898413E-5</v>
      </c>
      <c r="H799" s="331">
        <v>454009</v>
      </c>
      <c r="I799" s="331">
        <v>1288731</v>
      </c>
      <c r="J799" s="331">
        <f t="shared" si="25"/>
        <v>-834722</v>
      </c>
      <c r="K799" s="199">
        <v>5.71</v>
      </c>
      <c r="L799" s="199">
        <v>3.31</v>
      </c>
    </row>
    <row r="800" spans="1:12" ht="15" customHeight="1" x14ac:dyDescent="0.25">
      <c r="A800" s="49">
        <v>1986</v>
      </c>
      <c r="B800" s="330" t="s">
        <v>24</v>
      </c>
      <c r="C800" s="331">
        <v>65451303098</v>
      </c>
      <c r="D800" s="331">
        <v>25772997976</v>
      </c>
      <c r="E800" s="331">
        <v>1400778715</v>
      </c>
      <c r="F800" s="331">
        <v>730247</v>
      </c>
      <c r="G800" s="332">
        <f t="shared" si="24"/>
        <v>1.1157104067226955E-5</v>
      </c>
      <c r="H800" s="331">
        <v>879900</v>
      </c>
      <c r="I800" s="331">
        <v>1120828</v>
      </c>
      <c r="J800" s="331">
        <f t="shared" si="25"/>
        <v>-240928</v>
      </c>
      <c r="K800" s="199">
        <v>5.44</v>
      </c>
      <c r="L800" s="199">
        <v>3.31</v>
      </c>
    </row>
    <row r="801" spans="1:12" ht="15" customHeight="1" x14ac:dyDescent="0.25">
      <c r="A801" s="49">
        <v>1987</v>
      </c>
      <c r="B801" s="330" t="s">
        <v>24</v>
      </c>
      <c r="C801" s="331">
        <v>67931766985</v>
      </c>
      <c r="D801" s="331">
        <v>26562024758</v>
      </c>
      <c r="E801" s="331">
        <v>1219755018</v>
      </c>
      <c r="F801" s="331">
        <v>925209</v>
      </c>
      <c r="G801" s="332">
        <f t="shared" si="24"/>
        <v>1.3619681057380638E-5</v>
      </c>
      <c r="H801" s="331">
        <v>978225</v>
      </c>
      <c r="I801" s="331">
        <v>952597</v>
      </c>
      <c r="J801" s="331">
        <f t="shared" si="25"/>
        <v>25628</v>
      </c>
      <c r="K801" s="199">
        <v>4.59</v>
      </c>
      <c r="L801" s="199">
        <v>3.31</v>
      </c>
    </row>
    <row r="802" spans="1:12" ht="15" customHeight="1" x14ac:dyDescent="0.25">
      <c r="A802" s="49">
        <v>1988</v>
      </c>
      <c r="B802" s="330" t="s">
        <v>24</v>
      </c>
      <c r="C802" s="331">
        <v>73086339651</v>
      </c>
      <c r="D802" s="331">
        <v>27436593652</v>
      </c>
      <c r="E802" s="331">
        <v>1088864596</v>
      </c>
      <c r="F802" s="331">
        <v>928368</v>
      </c>
      <c r="G802" s="332">
        <f t="shared" si="24"/>
        <v>1.2702346354094608E-5</v>
      </c>
      <c r="H802" s="331">
        <v>981921</v>
      </c>
      <c r="I802" s="331">
        <v>781530</v>
      </c>
      <c r="J802" s="331">
        <f t="shared" si="25"/>
        <v>200391</v>
      </c>
      <c r="K802" s="199">
        <v>3.97</v>
      </c>
      <c r="L802" s="199">
        <v>3.31</v>
      </c>
    </row>
    <row r="803" spans="1:12" ht="15" customHeight="1" x14ac:dyDescent="0.25">
      <c r="A803" s="49">
        <v>1989</v>
      </c>
      <c r="B803" s="330" t="s">
        <v>24</v>
      </c>
      <c r="C803" s="331">
        <v>76745883663</v>
      </c>
      <c r="D803" s="331">
        <v>28141447683</v>
      </c>
      <c r="E803" s="331">
        <v>1049549071</v>
      </c>
      <c r="F803" s="331">
        <v>914837</v>
      </c>
      <c r="G803" s="332">
        <f t="shared" si="24"/>
        <v>1.1920339649969429E-5</v>
      </c>
      <c r="H803" s="331">
        <v>972496</v>
      </c>
      <c r="I803" s="331">
        <v>602513</v>
      </c>
      <c r="J803" s="331">
        <f t="shared" si="25"/>
        <v>369983</v>
      </c>
      <c r="K803" s="199">
        <v>3.73</v>
      </c>
      <c r="L803" s="199">
        <v>3.31</v>
      </c>
    </row>
    <row r="804" spans="1:12" ht="15" customHeight="1" x14ac:dyDescent="0.25">
      <c r="A804" s="49">
        <v>1990</v>
      </c>
      <c r="B804" s="330" t="s">
        <v>24</v>
      </c>
      <c r="C804" s="331">
        <v>78807721281</v>
      </c>
      <c r="D804" s="331">
        <v>28454590485</v>
      </c>
      <c r="E804" s="331">
        <v>1031802844</v>
      </c>
      <c r="F804" s="331">
        <v>1134852</v>
      </c>
      <c r="G804" s="332">
        <f t="shared" si="24"/>
        <v>1.4400264105512273E-5</v>
      </c>
      <c r="H804" s="331">
        <v>740289</v>
      </c>
      <c r="I804" s="331">
        <v>417510</v>
      </c>
      <c r="J804" s="331">
        <f t="shared" si="25"/>
        <v>322779</v>
      </c>
      <c r="K804" s="199">
        <v>3.63</v>
      </c>
      <c r="L804" s="199">
        <v>3.31</v>
      </c>
    </row>
    <row r="805" spans="1:12" ht="15" customHeight="1" x14ac:dyDescent="0.25">
      <c r="A805" s="49">
        <v>1991</v>
      </c>
      <c r="B805" s="330" t="s">
        <v>24</v>
      </c>
      <c r="C805" s="331">
        <v>78369493002</v>
      </c>
      <c r="D805" s="331">
        <v>27812155811</v>
      </c>
      <c r="E805" s="331">
        <v>1039156622</v>
      </c>
      <c r="F805" s="331">
        <v>1488274</v>
      </c>
      <c r="G805" s="332">
        <f t="shared" si="24"/>
        <v>1.8990476306411975E-5</v>
      </c>
      <c r="H805" s="331">
        <v>251000</v>
      </c>
      <c r="I805" s="331">
        <v>417509</v>
      </c>
      <c r="J805" s="331">
        <f t="shared" si="25"/>
        <v>-166509</v>
      </c>
      <c r="K805" s="199">
        <v>3.74</v>
      </c>
      <c r="L805" s="199">
        <v>3.31</v>
      </c>
    </row>
    <row r="806" spans="1:12" x14ac:dyDescent="0.25">
      <c r="A806" s="49">
        <v>1992</v>
      </c>
      <c r="B806" s="330" t="s">
        <v>24</v>
      </c>
      <c r="C806" s="331">
        <v>83238399166</v>
      </c>
      <c r="D806" s="331">
        <v>28256445151</v>
      </c>
      <c r="E806" s="331">
        <v>1138831023</v>
      </c>
      <c r="F806" s="331">
        <v>1221106</v>
      </c>
      <c r="G806" s="332">
        <f t="shared" si="24"/>
        <v>1.466998419280965E-5</v>
      </c>
      <c r="H806" s="331">
        <v>140232</v>
      </c>
      <c r="I806" s="331">
        <v>212724</v>
      </c>
      <c r="J806" s="331">
        <f t="shared" si="25"/>
        <v>-72492</v>
      </c>
      <c r="K806" s="199">
        <v>4.03</v>
      </c>
      <c r="L806" s="199">
        <v>3.31</v>
      </c>
    </row>
    <row r="807" spans="1:12" ht="15" customHeight="1" x14ac:dyDescent="0.25">
      <c r="A807" s="49">
        <v>1993</v>
      </c>
      <c r="B807" s="330" t="s">
        <v>24</v>
      </c>
      <c r="C807" s="331">
        <v>87402937370</v>
      </c>
      <c r="D807" s="331">
        <v>29167985775</v>
      </c>
      <c r="E807" s="331">
        <v>1220281341</v>
      </c>
      <c r="F807" s="331">
        <v>983218</v>
      </c>
      <c r="G807" s="332">
        <f t="shared" si="24"/>
        <v>1.124925579832375E-5</v>
      </c>
      <c r="H807" s="331">
        <v>364530</v>
      </c>
      <c r="I807" s="331">
        <v>0</v>
      </c>
      <c r="J807" s="331">
        <f t="shared" si="25"/>
        <v>364530</v>
      </c>
      <c r="K807" s="199">
        <v>4.18</v>
      </c>
      <c r="L807" s="199">
        <v>3.31</v>
      </c>
    </row>
    <row r="808" spans="1:12" ht="15" customHeight="1" x14ac:dyDescent="0.25">
      <c r="A808" s="49">
        <v>1994</v>
      </c>
      <c r="B808" s="330" t="s">
        <v>24</v>
      </c>
      <c r="C808" s="331">
        <v>95916707471</v>
      </c>
      <c r="D808" s="331">
        <v>31478675306</v>
      </c>
      <c r="E808" s="331">
        <v>1404007952</v>
      </c>
      <c r="F808" s="331">
        <v>828683</v>
      </c>
      <c r="G808" s="332">
        <f t="shared" si="24"/>
        <v>8.6396105730646434E-6</v>
      </c>
      <c r="H808" s="331">
        <v>866906</v>
      </c>
      <c r="I808" s="331">
        <v>0</v>
      </c>
      <c r="J808" s="331">
        <f t="shared" si="25"/>
        <v>866906</v>
      </c>
      <c r="K808" s="199">
        <v>4.46</v>
      </c>
      <c r="L808" s="199">
        <v>3.31</v>
      </c>
    </row>
    <row r="809" spans="1:12" ht="15" customHeight="1" x14ac:dyDescent="0.25">
      <c r="A809" s="49">
        <v>1995</v>
      </c>
      <c r="B809" s="330" t="s">
        <v>24</v>
      </c>
      <c r="C809" s="331">
        <v>103082784010</v>
      </c>
      <c r="D809" s="331">
        <v>32388439575</v>
      </c>
      <c r="E809" s="331">
        <v>1381182765</v>
      </c>
      <c r="F809" s="331">
        <v>843181</v>
      </c>
      <c r="G809" s="332">
        <f t="shared" si="24"/>
        <v>8.1796490859055914E-6</v>
      </c>
      <c r="H809" s="331">
        <v>1497688</v>
      </c>
      <c r="I809" s="331">
        <v>0</v>
      </c>
      <c r="J809" s="331">
        <f t="shared" si="25"/>
        <v>1497688</v>
      </c>
      <c r="K809" s="199">
        <v>4.26</v>
      </c>
      <c r="L809" s="199">
        <v>2.95</v>
      </c>
    </row>
    <row r="810" spans="1:12" ht="15" customHeight="1" x14ac:dyDescent="0.25">
      <c r="A810" s="49">
        <v>1996</v>
      </c>
      <c r="B810" s="330" t="s">
        <v>24</v>
      </c>
      <c r="C810" s="331">
        <v>108810518044</v>
      </c>
      <c r="D810" s="331">
        <v>33509318216</v>
      </c>
      <c r="E810" s="331">
        <v>1181291450</v>
      </c>
      <c r="F810" s="331">
        <v>946760</v>
      </c>
      <c r="G810" s="332">
        <f t="shared" si="24"/>
        <v>8.7009970820757989E-6</v>
      </c>
      <c r="H810" s="331">
        <v>1830928</v>
      </c>
      <c r="I810" s="331">
        <v>0</v>
      </c>
      <c r="J810" s="331">
        <f t="shared" si="25"/>
        <v>1830928</v>
      </c>
      <c r="K810" s="199">
        <v>3.53</v>
      </c>
      <c r="L810" s="199">
        <v>2.95</v>
      </c>
    </row>
    <row r="811" spans="1:12" ht="15" customHeight="1" x14ac:dyDescent="0.25">
      <c r="A811" s="49">
        <v>1997</v>
      </c>
      <c r="B811" s="330" t="s">
        <v>24</v>
      </c>
      <c r="C811" s="331">
        <v>113606898867</v>
      </c>
      <c r="D811" s="331">
        <v>33755762159</v>
      </c>
      <c r="E811" s="331">
        <v>1101869818</v>
      </c>
      <c r="F811" s="331">
        <v>873134</v>
      </c>
      <c r="G811" s="332">
        <f t="shared" si="24"/>
        <v>7.685571991734244E-6</v>
      </c>
      <c r="H811" s="331">
        <v>2222714</v>
      </c>
      <c r="I811" s="331">
        <v>0</v>
      </c>
      <c r="J811" s="331">
        <f t="shared" si="25"/>
        <v>2222714</v>
      </c>
      <c r="K811" s="199">
        <v>3.27</v>
      </c>
      <c r="L811" s="199">
        <v>2.95</v>
      </c>
    </row>
    <row r="812" spans="1:12" ht="15" customHeight="1" x14ac:dyDescent="0.25">
      <c r="A812" s="49">
        <v>1998</v>
      </c>
      <c r="B812" s="330" t="s">
        <v>24</v>
      </c>
      <c r="C812" s="331">
        <v>124178288889</v>
      </c>
      <c r="D812" s="331">
        <v>35518784469</v>
      </c>
      <c r="E812" s="331">
        <v>987740062</v>
      </c>
      <c r="F812" s="331">
        <v>953149</v>
      </c>
      <c r="G812" s="332">
        <f t="shared" si="24"/>
        <v>7.6756493307134963E-6</v>
      </c>
      <c r="H812" s="331">
        <v>2441572</v>
      </c>
      <c r="I812" s="331">
        <v>0</v>
      </c>
      <c r="J812" s="331">
        <f t="shared" si="25"/>
        <v>2441572</v>
      </c>
      <c r="K812" s="199">
        <v>2.78</v>
      </c>
      <c r="L812" s="199">
        <v>2.95</v>
      </c>
    </row>
    <row r="813" spans="1:12" ht="15" customHeight="1" x14ac:dyDescent="0.25">
      <c r="A813" s="49">
        <v>1999</v>
      </c>
      <c r="B813" s="330" t="s">
        <v>24</v>
      </c>
      <c r="C813" s="331">
        <v>131886751974</v>
      </c>
      <c r="D813" s="331">
        <v>37400969766</v>
      </c>
      <c r="E813" s="331">
        <v>994091002</v>
      </c>
      <c r="F813" s="331">
        <v>848541</v>
      </c>
      <c r="G813" s="332">
        <f t="shared" si="24"/>
        <v>6.4338607729704371E-6</v>
      </c>
      <c r="H813" s="331">
        <v>2742015</v>
      </c>
      <c r="I813" s="331">
        <v>0</v>
      </c>
      <c r="J813" s="331">
        <f t="shared" si="25"/>
        <v>2742015</v>
      </c>
      <c r="K813" s="199">
        <v>2.66</v>
      </c>
      <c r="L813" s="199">
        <v>2.95</v>
      </c>
    </row>
    <row r="814" spans="1:12" ht="15" customHeight="1" x14ac:dyDescent="0.25">
      <c r="A814" s="49">
        <v>2000</v>
      </c>
      <c r="B814" s="330" t="s">
        <v>24</v>
      </c>
      <c r="C814" s="331">
        <v>139101884079</v>
      </c>
      <c r="D814" s="331">
        <v>38447308332</v>
      </c>
      <c r="E814" s="331">
        <v>1018461686</v>
      </c>
      <c r="F814" s="331">
        <v>888583</v>
      </c>
      <c r="G814" s="332">
        <f t="shared" si="24"/>
        <v>6.3880011826104947E-6</v>
      </c>
      <c r="H814" s="331">
        <v>3067381</v>
      </c>
      <c r="I814" s="331">
        <v>0</v>
      </c>
      <c r="J814" s="331">
        <f t="shared" si="25"/>
        <v>3067381</v>
      </c>
      <c r="K814" s="199">
        <v>2.65</v>
      </c>
      <c r="L814" s="199">
        <v>2.95</v>
      </c>
    </row>
    <row r="815" spans="1:12" ht="15" customHeight="1" x14ac:dyDescent="0.25">
      <c r="A815" s="49">
        <v>2001</v>
      </c>
      <c r="B815" s="330" t="s">
        <v>24</v>
      </c>
      <c r="C815" s="331">
        <v>135624173530</v>
      </c>
      <c r="D815" s="331">
        <v>37112230812</v>
      </c>
      <c r="E815" s="331">
        <v>961173816</v>
      </c>
      <c r="F815" s="331">
        <v>1594986</v>
      </c>
      <c r="G815" s="332">
        <f t="shared" si="24"/>
        <v>1.1760337102789348E-5</v>
      </c>
      <c r="H815" s="331">
        <v>2601274</v>
      </c>
      <c r="I815" s="331">
        <v>0</v>
      </c>
      <c r="J815" s="331">
        <f t="shared" si="25"/>
        <v>2601274</v>
      </c>
      <c r="K815" s="199">
        <v>2.59</v>
      </c>
      <c r="L815" s="199">
        <v>2.69</v>
      </c>
    </row>
    <row r="816" spans="1:12" ht="15" customHeight="1" x14ac:dyDescent="0.25">
      <c r="A816" s="49">
        <v>2002</v>
      </c>
      <c r="B816" s="330" t="s">
        <v>24</v>
      </c>
      <c r="C816" s="331">
        <v>134089764104</v>
      </c>
      <c r="D816" s="331">
        <v>36055034130</v>
      </c>
      <c r="E816" s="331">
        <v>965827207</v>
      </c>
      <c r="F816" s="331">
        <v>1820861</v>
      </c>
      <c r="G816" s="332">
        <f t="shared" si="24"/>
        <v>1.3579418325978563E-5</v>
      </c>
      <c r="H816" s="331">
        <v>2076380</v>
      </c>
      <c r="I816" s="331">
        <v>0</v>
      </c>
      <c r="J816" s="331">
        <f t="shared" si="25"/>
        <v>2076380</v>
      </c>
      <c r="K816" s="199">
        <v>2.68</v>
      </c>
      <c r="L816" s="199">
        <v>2.69</v>
      </c>
    </row>
    <row r="817" spans="1:12" ht="15" customHeight="1" x14ac:dyDescent="0.25">
      <c r="A817" s="49">
        <v>2003</v>
      </c>
      <c r="B817" s="330" t="s">
        <v>24</v>
      </c>
      <c r="C817" s="331">
        <v>135736381674</v>
      </c>
      <c r="D817" s="331">
        <v>33861111060</v>
      </c>
      <c r="E817" s="331">
        <v>1137542142</v>
      </c>
      <c r="F817" s="331">
        <v>1907151</v>
      </c>
      <c r="G817" s="332">
        <f t="shared" si="24"/>
        <v>1.4050403999868154E-5</v>
      </c>
      <c r="H817" s="331">
        <v>1247842</v>
      </c>
      <c r="I817" s="331">
        <v>0</v>
      </c>
      <c r="J817" s="331">
        <f t="shared" si="25"/>
        <v>1247842</v>
      </c>
      <c r="K817" s="199">
        <v>3.36</v>
      </c>
      <c r="L817" s="199">
        <v>2.69</v>
      </c>
    </row>
    <row r="818" spans="1:12" ht="15" customHeight="1" x14ac:dyDescent="0.25">
      <c r="A818" s="49">
        <v>2004</v>
      </c>
      <c r="B818" s="330" t="s">
        <v>24</v>
      </c>
      <c r="C818" s="331">
        <v>138183270085</v>
      </c>
      <c r="D818" s="331">
        <v>33940321744</v>
      </c>
      <c r="E818" s="331">
        <v>1367578906</v>
      </c>
      <c r="F818" s="331">
        <v>1790965</v>
      </c>
      <c r="G818" s="332">
        <f t="shared" si="24"/>
        <v>1.2960794739466886E-5</v>
      </c>
      <c r="H818" s="331">
        <v>713933</v>
      </c>
      <c r="I818" s="331">
        <v>0</v>
      </c>
      <c r="J818" s="331">
        <f t="shared" si="25"/>
        <v>713933</v>
      </c>
      <c r="K818" s="199">
        <v>4.03</v>
      </c>
      <c r="L818" s="199">
        <v>2.69</v>
      </c>
    </row>
    <row r="819" spans="1:12" ht="15" customHeight="1" x14ac:dyDescent="0.25">
      <c r="A819" s="49">
        <v>2005</v>
      </c>
      <c r="B819" s="330" t="s">
        <v>24</v>
      </c>
      <c r="C819" s="331">
        <v>140018316460</v>
      </c>
      <c r="D819" s="331">
        <v>33722641758</v>
      </c>
      <c r="E819" s="331">
        <v>1458537867</v>
      </c>
      <c r="F819" s="331">
        <v>1728177</v>
      </c>
      <c r="G819" s="332">
        <f t="shared" si="24"/>
        <v>1.2342506635506507E-5</v>
      </c>
      <c r="H819" s="331">
        <v>441786</v>
      </c>
      <c r="I819" s="331">
        <v>0</v>
      </c>
      <c r="J819" s="331">
        <f t="shared" si="25"/>
        <v>441786</v>
      </c>
      <c r="K819" s="199">
        <v>4.33</v>
      </c>
      <c r="L819" s="199">
        <v>2.69</v>
      </c>
    </row>
    <row r="820" spans="1:12" ht="15" customHeight="1" x14ac:dyDescent="0.25">
      <c r="A820" s="49">
        <v>2006</v>
      </c>
      <c r="B820" s="330" t="s">
        <v>24</v>
      </c>
      <c r="C820" s="331">
        <v>140141827261</v>
      </c>
      <c r="D820" s="331">
        <v>33311644460</v>
      </c>
      <c r="E820" s="331">
        <v>1532836965</v>
      </c>
      <c r="F820" s="331">
        <v>1877441</v>
      </c>
      <c r="G820" s="332">
        <f t="shared" si="24"/>
        <v>1.3396721283671118E-5</v>
      </c>
      <c r="H820" s="331">
        <v>112346</v>
      </c>
      <c r="I820" s="331">
        <v>0</v>
      </c>
      <c r="J820" s="331">
        <f t="shared" si="25"/>
        <v>112346</v>
      </c>
      <c r="K820" s="199">
        <v>4.5999999999999996</v>
      </c>
      <c r="L820" s="199">
        <v>2.69</v>
      </c>
    </row>
    <row r="821" spans="1:12" ht="15" customHeight="1" x14ac:dyDescent="0.25">
      <c r="A821" s="49">
        <v>2007</v>
      </c>
      <c r="B821" s="330" t="s">
        <v>24</v>
      </c>
      <c r="C821" s="331">
        <v>141586268402</v>
      </c>
      <c r="D821" s="331">
        <v>33005588426</v>
      </c>
      <c r="E821" s="331">
        <v>1561316526</v>
      </c>
      <c r="F821" s="331">
        <v>1772196</v>
      </c>
      <c r="G821" s="332">
        <f t="shared" si="24"/>
        <v>1.2516722278238717E-5</v>
      </c>
      <c r="H821" s="331">
        <v>31111</v>
      </c>
      <c r="I821" s="331">
        <v>134600</v>
      </c>
      <c r="J821" s="331">
        <f t="shared" si="25"/>
        <v>-103489</v>
      </c>
      <c r="K821" s="199">
        <v>4.7300000000000004</v>
      </c>
      <c r="L821" s="199">
        <v>2.69</v>
      </c>
    </row>
    <row r="822" spans="1:12" ht="15" customHeight="1" x14ac:dyDescent="0.25">
      <c r="A822" s="49">
        <v>2008</v>
      </c>
      <c r="B822" s="330" t="s">
        <v>24</v>
      </c>
      <c r="C822" s="331">
        <v>138908214439</v>
      </c>
      <c r="D822" s="331">
        <v>31761714170</v>
      </c>
      <c r="E822" s="331">
        <v>1497834789</v>
      </c>
      <c r="F822" s="331">
        <v>2149288</v>
      </c>
      <c r="G822" s="332">
        <f t="shared" si="24"/>
        <v>1.5472720664362408E-5</v>
      </c>
      <c r="H822" s="331">
        <v>29716</v>
      </c>
      <c r="I822" s="331">
        <v>772500</v>
      </c>
      <c r="J822" s="331">
        <f t="shared" si="25"/>
        <v>-742784</v>
      </c>
      <c r="K822" s="199">
        <v>4.7</v>
      </c>
      <c r="L822" s="199">
        <v>2.69</v>
      </c>
    </row>
    <row r="823" spans="1:12" ht="15" customHeight="1" x14ac:dyDescent="0.25">
      <c r="A823" s="49">
        <v>2009</v>
      </c>
      <c r="B823" s="330" t="s">
        <v>24</v>
      </c>
      <c r="C823" s="331">
        <v>122803171337</v>
      </c>
      <c r="D823" s="331">
        <v>28700096671</v>
      </c>
      <c r="E823" s="331">
        <v>1311638114</v>
      </c>
      <c r="F823" s="331">
        <v>3635514</v>
      </c>
      <c r="G823" s="332">
        <f t="shared" si="24"/>
        <v>2.9604398326353624E-5</v>
      </c>
      <c r="H823" s="331">
        <v>115056</v>
      </c>
      <c r="I823" s="331">
        <v>3159082</v>
      </c>
      <c r="J823" s="331">
        <f t="shared" si="25"/>
        <v>-3044026</v>
      </c>
      <c r="K823" s="199">
        <v>4.5999999999999996</v>
      </c>
      <c r="L823" s="199">
        <v>2.16</v>
      </c>
    </row>
    <row r="824" spans="1:12" ht="15" customHeight="1" x14ac:dyDescent="0.25">
      <c r="A824" s="49">
        <v>2010</v>
      </c>
      <c r="B824" s="330" t="s">
        <v>24</v>
      </c>
      <c r="C824" s="331">
        <v>125375864863</v>
      </c>
      <c r="D824" s="331">
        <v>28827291050</v>
      </c>
      <c r="E824" s="331">
        <v>1470882117</v>
      </c>
      <c r="F824" s="331">
        <v>1975665</v>
      </c>
      <c r="G824" s="332">
        <f t="shared" si="24"/>
        <v>1.5757937160862956E-5</v>
      </c>
      <c r="H824" s="331">
        <v>188013</v>
      </c>
      <c r="I824" s="331">
        <v>3710392</v>
      </c>
      <c r="J824" s="331">
        <f t="shared" si="25"/>
        <v>-3522379</v>
      </c>
      <c r="K824" s="199">
        <v>5.0999999999999996</v>
      </c>
      <c r="L824" s="199">
        <v>2.17</v>
      </c>
    </row>
    <row r="825" spans="1:12" ht="15" customHeight="1" x14ac:dyDescent="0.25">
      <c r="A825" s="49">
        <v>2011</v>
      </c>
      <c r="B825" s="330" t="s">
        <v>24</v>
      </c>
      <c r="C825" s="331">
        <v>135231302331</v>
      </c>
      <c r="D825" s="331">
        <v>30037700454</v>
      </c>
      <c r="E825" s="331">
        <v>1654480796</v>
      </c>
      <c r="F825" s="331">
        <v>1466033</v>
      </c>
      <c r="G825" s="332">
        <f t="shared" si="24"/>
        <v>1.0840929390827372E-5</v>
      </c>
      <c r="H825" s="331">
        <v>113939</v>
      </c>
      <c r="I825" s="331">
        <v>0</v>
      </c>
      <c r="J825" s="331">
        <f t="shared" si="25"/>
        <v>113939</v>
      </c>
      <c r="K825" s="199">
        <v>5.5</v>
      </c>
      <c r="L825" s="199">
        <v>2.17</v>
      </c>
    </row>
    <row r="826" spans="1:12" ht="15" customHeight="1" x14ac:dyDescent="0.25">
      <c r="A826" s="49">
        <v>2012</v>
      </c>
      <c r="B826" s="330" t="s">
        <v>24</v>
      </c>
      <c r="C826" s="331">
        <v>141961782682</v>
      </c>
      <c r="D826" s="331">
        <v>32718718478</v>
      </c>
      <c r="E826" s="331">
        <v>1820762565</v>
      </c>
      <c r="F826" s="331">
        <v>1281482</v>
      </c>
      <c r="G826" s="332">
        <f t="shared" si="24"/>
        <v>9.0269506045198827E-6</v>
      </c>
      <c r="H826" s="331">
        <v>865708</v>
      </c>
      <c r="I826" s="331">
        <v>0</v>
      </c>
      <c r="J826" s="331">
        <f t="shared" si="25"/>
        <v>865708</v>
      </c>
      <c r="K826" s="199">
        <v>5.56</v>
      </c>
      <c r="L826" s="199">
        <v>2.17</v>
      </c>
    </row>
    <row r="827" spans="1:12" ht="15" customHeight="1" x14ac:dyDescent="0.25">
      <c r="A827" s="49">
        <v>2013</v>
      </c>
      <c r="B827" s="330" t="s">
        <v>24</v>
      </c>
      <c r="C827" s="331">
        <v>147298758979</v>
      </c>
      <c r="D827" s="331">
        <v>34287076720</v>
      </c>
      <c r="E827" s="331">
        <v>1781204256</v>
      </c>
      <c r="F827" s="331">
        <v>1085726</v>
      </c>
      <c r="G827" s="332">
        <f t="shared" si="24"/>
        <v>7.3709107091308833E-6</v>
      </c>
      <c r="H827" s="331">
        <v>1543097</v>
      </c>
      <c r="I827" s="331">
        <v>0</v>
      </c>
      <c r="J827" s="331">
        <f t="shared" si="25"/>
        <v>1543097</v>
      </c>
      <c r="K827" s="199">
        <v>5.2</v>
      </c>
      <c r="L827" s="199">
        <v>2.17</v>
      </c>
    </row>
    <row r="828" spans="1:12" ht="15" customHeight="1" x14ac:dyDescent="0.25">
      <c r="A828" s="49">
        <v>2014</v>
      </c>
      <c r="B828" s="330" t="s">
        <v>24</v>
      </c>
      <c r="C828" s="331">
        <v>155198171620</v>
      </c>
      <c r="D828" s="331">
        <v>34987390224</v>
      </c>
      <c r="E828" s="331">
        <v>1533295229</v>
      </c>
      <c r="F828" s="331">
        <v>1002875</v>
      </c>
      <c r="G828" s="332">
        <f t="shared" si="24"/>
        <v>6.461899579948157E-6</v>
      </c>
      <c r="H828" s="331">
        <v>2078852</v>
      </c>
      <c r="I828" s="331">
        <v>0</v>
      </c>
      <c r="J828" s="331">
        <f t="shared" si="25"/>
        <v>2078852</v>
      </c>
      <c r="K828" s="333">
        <v>4.3824224075684803</v>
      </c>
      <c r="L828" s="199">
        <v>2.17</v>
      </c>
    </row>
    <row r="829" spans="1:12" ht="15" customHeight="1" x14ac:dyDescent="0.25">
      <c r="A829" s="49">
        <v>2015</v>
      </c>
      <c r="B829" s="330" t="s">
        <v>24</v>
      </c>
      <c r="C829" s="334">
        <v>163758082000</v>
      </c>
      <c r="D829" s="334">
        <v>35883386000</v>
      </c>
      <c r="E829" s="334">
        <v>1360638000</v>
      </c>
      <c r="F829" s="331">
        <v>865000</v>
      </c>
      <c r="G829" s="332">
        <f t="shared" si="24"/>
        <v>5.2821820421663216E-6</v>
      </c>
      <c r="H829" s="331">
        <v>2689825</v>
      </c>
      <c r="I829" s="199">
        <v>0</v>
      </c>
      <c r="J829" s="331">
        <f t="shared" si="25"/>
        <v>2689825</v>
      </c>
      <c r="K829" s="199">
        <v>3.9</v>
      </c>
      <c r="L829" s="199">
        <v>2.17</v>
      </c>
    </row>
    <row r="830" spans="1:12" ht="15" customHeight="1" x14ac:dyDescent="0.25">
      <c r="A830" s="49">
        <v>1980</v>
      </c>
      <c r="B830" s="330" t="s">
        <v>25</v>
      </c>
      <c r="C830" s="331">
        <v>18818254945</v>
      </c>
      <c r="D830" s="331">
        <v>9559473081</v>
      </c>
      <c r="E830" s="331">
        <v>190579551</v>
      </c>
      <c r="F830" s="331">
        <v>284145</v>
      </c>
      <c r="G830" s="332">
        <f t="shared" si="24"/>
        <v>1.5099434077732972E-5</v>
      </c>
      <c r="H830" s="331">
        <v>15385</v>
      </c>
      <c r="I830" s="331">
        <v>28200</v>
      </c>
      <c r="J830" s="331">
        <f t="shared" si="25"/>
        <v>-12815</v>
      </c>
      <c r="K830" s="199">
        <v>1.99</v>
      </c>
      <c r="L830" s="199">
        <v>1.66</v>
      </c>
    </row>
    <row r="831" spans="1:12" ht="15" customHeight="1" x14ac:dyDescent="0.25">
      <c r="A831" s="49">
        <v>1981</v>
      </c>
      <c r="B831" s="330" t="s">
        <v>25</v>
      </c>
      <c r="C831" s="331">
        <v>20378782350</v>
      </c>
      <c r="D831" s="331">
        <v>9713674294</v>
      </c>
      <c r="E831" s="331">
        <v>188978516</v>
      </c>
      <c r="F831" s="331">
        <v>259134</v>
      </c>
      <c r="G831" s="332">
        <f t="shared" si="24"/>
        <v>1.2715872594811829E-5</v>
      </c>
      <c r="H831" s="331">
        <v>29854</v>
      </c>
      <c r="I831" s="331">
        <v>114000</v>
      </c>
      <c r="J831" s="331">
        <f t="shared" si="25"/>
        <v>-84146</v>
      </c>
      <c r="K831" s="199">
        <v>1.95</v>
      </c>
      <c r="L831" s="199">
        <v>1.66</v>
      </c>
    </row>
    <row r="832" spans="1:12" ht="15" customHeight="1" x14ac:dyDescent="0.25">
      <c r="A832" s="49">
        <v>1982</v>
      </c>
      <c r="B832" s="330" t="s">
        <v>25</v>
      </c>
      <c r="C832" s="331">
        <v>21119746789</v>
      </c>
      <c r="D832" s="331">
        <v>9725842496</v>
      </c>
      <c r="E832" s="331">
        <v>209850009</v>
      </c>
      <c r="F832" s="331">
        <v>399664</v>
      </c>
      <c r="G832" s="332">
        <f t="shared" si="24"/>
        <v>1.8923711727839504E-5</v>
      </c>
      <c r="H832" s="331">
        <v>94</v>
      </c>
      <c r="I832" s="331">
        <v>288047</v>
      </c>
      <c r="J832" s="331">
        <f t="shared" si="25"/>
        <v>-287953</v>
      </c>
      <c r="K832" s="199">
        <v>2.16</v>
      </c>
      <c r="L832" s="199">
        <v>1.79</v>
      </c>
    </row>
    <row r="833" spans="1:12" ht="15" customHeight="1" x14ac:dyDescent="0.25">
      <c r="A833" s="49">
        <v>1983</v>
      </c>
      <c r="B833" s="330" t="s">
        <v>25</v>
      </c>
      <c r="C833" s="331">
        <v>22360877820</v>
      </c>
      <c r="D833" s="331">
        <v>10418419415</v>
      </c>
      <c r="E833" s="331">
        <v>259883007</v>
      </c>
      <c r="F833" s="331">
        <v>303649</v>
      </c>
      <c r="G833" s="332">
        <f t="shared" si="24"/>
        <v>1.3579475834728209E-5</v>
      </c>
      <c r="H833" s="331">
        <v>0</v>
      </c>
      <c r="I833" s="331">
        <v>351753</v>
      </c>
      <c r="J833" s="331">
        <f t="shared" si="25"/>
        <v>-351753</v>
      </c>
      <c r="K833" s="199">
        <v>2.4900000000000002</v>
      </c>
      <c r="L833" s="199">
        <v>1.79</v>
      </c>
    </row>
    <row r="834" spans="1:12" ht="15" customHeight="1" x14ac:dyDescent="0.25">
      <c r="A834" s="49">
        <v>1984</v>
      </c>
      <c r="B834" s="330" t="s">
        <v>25</v>
      </c>
      <c r="C834" s="331">
        <v>25080089614</v>
      </c>
      <c r="D834" s="331">
        <v>11939737542</v>
      </c>
      <c r="E834" s="331">
        <v>327618681</v>
      </c>
      <c r="F834" s="331">
        <v>242857</v>
      </c>
      <c r="G834" s="332">
        <f t="shared" ref="G834:G897" si="26">F834/C834</f>
        <v>9.6832588614210684E-6</v>
      </c>
      <c r="H834" s="331">
        <v>0</v>
      </c>
      <c r="I834" s="331">
        <v>204063</v>
      </c>
      <c r="J834" s="331">
        <f t="shared" ref="J834:J897" si="27">H834-I834</f>
        <v>-204063</v>
      </c>
      <c r="K834" s="199">
        <v>2.74</v>
      </c>
      <c r="L834" s="199">
        <v>1.79</v>
      </c>
    </row>
    <row r="835" spans="1:12" ht="15" customHeight="1" x14ac:dyDescent="0.25">
      <c r="A835" s="49">
        <v>1985</v>
      </c>
      <c r="B835" s="330" t="s">
        <v>25</v>
      </c>
      <c r="C835" s="331">
        <v>26825539117</v>
      </c>
      <c r="D835" s="331">
        <v>12788301877</v>
      </c>
      <c r="E835" s="331">
        <v>347107159</v>
      </c>
      <c r="F835" s="331">
        <v>317556</v>
      </c>
      <c r="G835" s="332">
        <f t="shared" si="26"/>
        <v>1.183782359843635E-5</v>
      </c>
      <c r="H835" s="331">
        <v>0</v>
      </c>
      <c r="I835" s="331">
        <v>86159</v>
      </c>
      <c r="J835" s="331">
        <f t="shared" si="27"/>
        <v>-86159</v>
      </c>
      <c r="K835" s="199">
        <v>2.71</v>
      </c>
      <c r="L835" s="199">
        <v>1.79</v>
      </c>
    </row>
    <row r="836" spans="1:12" ht="15" customHeight="1" x14ac:dyDescent="0.25">
      <c r="A836" s="49">
        <v>1986</v>
      </c>
      <c r="B836" s="330" t="s">
        <v>25</v>
      </c>
      <c r="C836" s="331">
        <v>28373418407</v>
      </c>
      <c r="D836" s="331">
        <v>13353842666</v>
      </c>
      <c r="E836" s="331">
        <v>361344433</v>
      </c>
      <c r="F836" s="331">
        <v>339767</v>
      </c>
      <c r="G836" s="332">
        <f t="shared" si="26"/>
        <v>1.1974834865726865E-5</v>
      </c>
      <c r="H836" s="331">
        <v>56576</v>
      </c>
      <c r="I836" s="331">
        <v>0</v>
      </c>
      <c r="J836" s="331">
        <f t="shared" si="27"/>
        <v>56576</v>
      </c>
      <c r="K836" s="199">
        <v>2.71</v>
      </c>
      <c r="L836" s="199">
        <v>1.79</v>
      </c>
    </row>
    <row r="837" spans="1:12" ht="15" customHeight="1" x14ac:dyDescent="0.25">
      <c r="A837" s="49">
        <v>1987</v>
      </c>
      <c r="B837" s="330" t="s">
        <v>25</v>
      </c>
      <c r="C837" s="331">
        <v>30694367463</v>
      </c>
      <c r="D837" s="331">
        <v>14338899942</v>
      </c>
      <c r="E837" s="331">
        <v>384429998</v>
      </c>
      <c r="F837" s="331">
        <v>304258</v>
      </c>
      <c r="G837" s="332">
        <f t="shared" si="26"/>
        <v>9.912502688539277E-6</v>
      </c>
      <c r="H837" s="331">
        <v>155132</v>
      </c>
      <c r="I837" s="331">
        <v>0</v>
      </c>
      <c r="J837" s="331">
        <f t="shared" si="27"/>
        <v>155132</v>
      </c>
      <c r="K837" s="199">
        <v>2.68</v>
      </c>
      <c r="L837" s="199">
        <v>1.79</v>
      </c>
    </row>
    <row r="838" spans="1:12" ht="15" customHeight="1" x14ac:dyDescent="0.25">
      <c r="A838" s="49">
        <v>1988</v>
      </c>
      <c r="B838" s="330" t="s">
        <v>25</v>
      </c>
      <c r="C838" s="331">
        <v>33386074959</v>
      </c>
      <c r="D838" s="331">
        <v>15826848233</v>
      </c>
      <c r="E838" s="331">
        <v>376954255</v>
      </c>
      <c r="F838" s="331">
        <v>294263</v>
      </c>
      <c r="G838" s="332">
        <f t="shared" si="26"/>
        <v>8.813944147713431E-6</v>
      </c>
      <c r="H838" s="331">
        <v>273513</v>
      </c>
      <c r="I838" s="331">
        <v>0</v>
      </c>
      <c r="J838" s="331">
        <f t="shared" si="27"/>
        <v>273513</v>
      </c>
      <c r="K838" s="199">
        <v>2.38</v>
      </c>
      <c r="L838" s="199">
        <v>1.79</v>
      </c>
    </row>
    <row r="839" spans="1:12" ht="15" customHeight="1" x14ac:dyDescent="0.25">
      <c r="A839" s="49">
        <v>1989</v>
      </c>
      <c r="B839" s="330" t="s">
        <v>25</v>
      </c>
      <c r="C839" s="331">
        <v>35398329888</v>
      </c>
      <c r="D839" s="331">
        <v>17098230806</v>
      </c>
      <c r="E839" s="331">
        <v>359019250</v>
      </c>
      <c r="F839" s="331">
        <v>314100</v>
      </c>
      <c r="G839" s="332">
        <f t="shared" si="26"/>
        <v>8.8732999831859185E-6</v>
      </c>
      <c r="H839" s="331">
        <v>358951</v>
      </c>
      <c r="I839" s="331">
        <v>0</v>
      </c>
      <c r="J839" s="331">
        <f t="shared" si="27"/>
        <v>358951</v>
      </c>
      <c r="K839" s="199">
        <v>2.1</v>
      </c>
      <c r="L839" s="199">
        <v>1.79</v>
      </c>
    </row>
    <row r="840" spans="1:12" ht="15" customHeight="1" x14ac:dyDescent="0.25">
      <c r="A840" s="49">
        <v>1990</v>
      </c>
      <c r="B840" s="330" t="s">
        <v>25</v>
      </c>
      <c r="C840" s="331">
        <v>37283117762</v>
      </c>
      <c r="D840" s="331">
        <v>18165451659</v>
      </c>
      <c r="E840" s="331">
        <v>359177797</v>
      </c>
      <c r="F840" s="331">
        <v>340934</v>
      </c>
      <c r="G840" s="332">
        <f t="shared" si="26"/>
        <v>9.1444605619192474E-6</v>
      </c>
      <c r="H840" s="331">
        <v>409119</v>
      </c>
      <c r="I840" s="331">
        <v>0</v>
      </c>
      <c r="J840" s="331">
        <f t="shared" si="27"/>
        <v>409119</v>
      </c>
      <c r="K840" s="199">
        <v>1.98</v>
      </c>
      <c r="L840" s="199">
        <v>1.79</v>
      </c>
    </row>
    <row r="841" spans="1:12" x14ac:dyDescent="0.25">
      <c r="A841" s="49">
        <v>1991</v>
      </c>
      <c r="B841" s="330" t="s">
        <v>25</v>
      </c>
      <c r="C841" s="331">
        <v>38468018889</v>
      </c>
      <c r="D841" s="331">
        <v>18620681384</v>
      </c>
      <c r="E841" s="331">
        <v>278279198</v>
      </c>
      <c r="F841" s="331">
        <v>407859</v>
      </c>
      <c r="G841" s="332">
        <f t="shared" si="26"/>
        <v>1.0602547564949543E-5</v>
      </c>
      <c r="H841" s="331">
        <v>309473</v>
      </c>
      <c r="I841" s="331">
        <v>0</v>
      </c>
      <c r="J841" s="331">
        <f t="shared" si="27"/>
        <v>309473</v>
      </c>
      <c r="K841" s="199">
        <v>1.49</v>
      </c>
      <c r="L841" s="199">
        <v>1.79</v>
      </c>
    </row>
    <row r="842" spans="1:12" ht="15" customHeight="1" x14ac:dyDescent="0.25">
      <c r="A842" s="49">
        <v>1992</v>
      </c>
      <c r="B842" s="330" t="s">
        <v>25</v>
      </c>
      <c r="C842" s="331">
        <v>41734769025</v>
      </c>
      <c r="D842" s="331">
        <v>19800999251</v>
      </c>
      <c r="E842" s="331">
        <v>285843457</v>
      </c>
      <c r="F842" s="331">
        <v>375642</v>
      </c>
      <c r="G842" s="332">
        <f t="shared" si="26"/>
        <v>9.0006967517894396E-6</v>
      </c>
      <c r="H842" s="331">
        <v>224091</v>
      </c>
      <c r="I842" s="331">
        <v>0</v>
      </c>
      <c r="J842" s="331">
        <f t="shared" si="27"/>
        <v>224091</v>
      </c>
      <c r="K842" s="199">
        <v>1.44</v>
      </c>
      <c r="L842" s="199">
        <v>1.79</v>
      </c>
    </row>
    <row r="843" spans="1:12" ht="15" customHeight="1" x14ac:dyDescent="0.25">
      <c r="A843" s="49">
        <v>1993</v>
      </c>
      <c r="B843" s="330" t="s">
        <v>25</v>
      </c>
      <c r="C843" s="331">
        <v>43533757114</v>
      </c>
      <c r="D843" s="331">
        <v>20965105716</v>
      </c>
      <c r="E843" s="331">
        <v>374771118</v>
      </c>
      <c r="F843" s="331">
        <v>347284</v>
      </c>
      <c r="G843" s="332">
        <f t="shared" si="26"/>
        <v>7.9773496023001681E-6</v>
      </c>
      <c r="H843" s="331">
        <v>257584</v>
      </c>
      <c r="I843" s="331">
        <v>0</v>
      </c>
      <c r="J843" s="331">
        <f t="shared" si="27"/>
        <v>257584</v>
      </c>
      <c r="K843" s="199">
        <v>1.79</v>
      </c>
      <c r="L843" s="199">
        <v>1.79</v>
      </c>
    </row>
    <row r="844" spans="1:12" ht="15" customHeight="1" x14ac:dyDescent="0.25">
      <c r="A844" s="49">
        <v>1994</v>
      </c>
      <c r="B844" s="330" t="s">
        <v>25</v>
      </c>
      <c r="C844" s="331">
        <v>46178168774</v>
      </c>
      <c r="D844" s="331">
        <v>22811463335</v>
      </c>
      <c r="E844" s="331">
        <v>434734301</v>
      </c>
      <c r="F844" s="331">
        <v>337773</v>
      </c>
      <c r="G844" s="332">
        <f t="shared" si="26"/>
        <v>7.3145602991121331E-6</v>
      </c>
      <c r="H844" s="331">
        <v>369776</v>
      </c>
      <c r="I844" s="331">
        <v>0</v>
      </c>
      <c r="J844" s="331">
        <f t="shared" si="27"/>
        <v>369776</v>
      </c>
      <c r="K844" s="199">
        <v>1.91</v>
      </c>
      <c r="L844" s="199">
        <v>1.79</v>
      </c>
    </row>
    <row r="845" spans="1:12" ht="15" customHeight="1" x14ac:dyDescent="0.25">
      <c r="A845" s="49">
        <v>1995</v>
      </c>
      <c r="B845" s="330" t="s">
        <v>25</v>
      </c>
      <c r="C845" s="331">
        <v>49617167682</v>
      </c>
      <c r="D845" s="331">
        <v>24085858066</v>
      </c>
      <c r="E845" s="331">
        <v>391761290</v>
      </c>
      <c r="F845" s="331">
        <v>328442</v>
      </c>
      <c r="G845" s="332">
        <f t="shared" si="26"/>
        <v>6.619523349357795E-6</v>
      </c>
      <c r="H845" s="331">
        <v>459621</v>
      </c>
      <c r="I845" s="331">
        <v>0</v>
      </c>
      <c r="J845" s="331">
        <f t="shared" si="27"/>
        <v>459621</v>
      </c>
      <c r="K845" s="199">
        <v>1.63</v>
      </c>
      <c r="L845" s="199">
        <v>1.7</v>
      </c>
    </row>
    <row r="846" spans="1:12" ht="15" customHeight="1" x14ac:dyDescent="0.25">
      <c r="A846" s="49">
        <v>1996</v>
      </c>
      <c r="B846" s="330" t="s">
        <v>25</v>
      </c>
      <c r="C846" s="331">
        <v>53854335931</v>
      </c>
      <c r="D846" s="331">
        <v>25659343663</v>
      </c>
      <c r="E846" s="331">
        <v>353110692</v>
      </c>
      <c r="F846" s="331">
        <v>338745</v>
      </c>
      <c r="G846" s="332">
        <f t="shared" si="26"/>
        <v>6.2900227835695823E-6</v>
      </c>
      <c r="H846" s="331">
        <v>513033</v>
      </c>
      <c r="I846" s="331">
        <v>0</v>
      </c>
      <c r="J846" s="331">
        <f t="shared" si="27"/>
        <v>513033</v>
      </c>
      <c r="K846" s="199">
        <v>1.38</v>
      </c>
      <c r="L846" s="199">
        <v>1.66</v>
      </c>
    </row>
    <row r="847" spans="1:12" ht="15" customHeight="1" x14ac:dyDescent="0.25">
      <c r="A847" s="49">
        <v>1997</v>
      </c>
      <c r="B847" s="330" t="s">
        <v>25</v>
      </c>
      <c r="C847" s="331">
        <v>58348052703</v>
      </c>
      <c r="D847" s="331">
        <v>27590033019</v>
      </c>
      <c r="E847" s="331">
        <v>353020997</v>
      </c>
      <c r="F847" s="331">
        <v>330522</v>
      </c>
      <c r="G847" s="332">
        <f t="shared" si="26"/>
        <v>5.6646620527750023E-6</v>
      </c>
      <c r="H847" s="331">
        <v>564628</v>
      </c>
      <c r="I847" s="331">
        <v>0</v>
      </c>
      <c r="J847" s="331">
        <f t="shared" si="27"/>
        <v>564628</v>
      </c>
      <c r="K847" s="199">
        <v>1.28</v>
      </c>
      <c r="L847" s="199">
        <v>1.66</v>
      </c>
    </row>
    <row r="848" spans="1:12" ht="15" customHeight="1" x14ac:dyDescent="0.25">
      <c r="A848" s="49">
        <v>1998</v>
      </c>
      <c r="B848" s="330" t="s">
        <v>25</v>
      </c>
      <c r="C848" s="331">
        <v>63774328519</v>
      </c>
      <c r="D848" s="331">
        <v>30009135665</v>
      </c>
      <c r="E848" s="331">
        <v>352038777</v>
      </c>
      <c r="F848" s="331">
        <v>315605</v>
      </c>
      <c r="G848" s="332">
        <f t="shared" si="26"/>
        <v>4.9487780950288362E-6</v>
      </c>
      <c r="H848" s="331">
        <v>645615</v>
      </c>
      <c r="I848" s="331">
        <v>0</v>
      </c>
      <c r="J848" s="331">
        <f t="shared" si="27"/>
        <v>645615</v>
      </c>
      <c r="K848" s="199">
        <v>1.17</v>
      </c>
      <c r="L848" s="199">
        <v>1.66</v>
      </c>
    </row>
    <row r="849" spans="1:12" ht="15" customHeight="1" x14ac:dyDescent="0.25">
      <c r="A849" s="49">
        <v>1999</v>
      </c>
      <c r="B849" s="330" t="s">
        <v>25</v>
      </c>
      <c r="C849" s="331">
        <v>68323934648</v>
      </c>
      <c r="D849" s="331">
        <v>32361876937</v>
      </c>
      <c r="E849" s="331">
        <v>345869992</v>
      </c>
      <c r="F849" s="331">
        <v>336382</v>
      </c>
      <c r="G849" s="332">
        <f t="shared" si="26"/>
        <v>4.9233405794472451E-6</v>
      </c>
      <c r="H849" s="331">
        <v>700857</v>
      </c>
      <c r="I849" s="331">
        <v>0</v>
      </c>
      <c r="J849" s="331">
        <f t="shared" si="27"/>
        <v>700857</v>
      </c>
      <c r="K849" s="199">
        <v>1.07</v>
      </c>
      <c r="L849" s="199">
        <v>1.66</v>
      </c>
    </row>
    <row r="850" spans="1:12" ht="15" customHeight="1" x14ac:dyDescent="0.25">
      <c r="A850" s="49">
        <v>2000</v>
      </c>
      <c r="B850" s="330" t="s">
        <v>25</v>
      </c>
      <c r="C850" s="331">
        <v>74013169680</v>
      </c>
      <c r="D850" s="331">
        <v>34895627152</v>
      </c>
      <c r="E850" s="331">
        <v>340652126</v>
      </c>
      <c r="F850" s="331">
        <v>374257</v>
      </c>
      <c r="G850" s="332">
        <f t="shared" si="26"/>
        <v>5.0566271059342642E-6</v>
      </c>
      <c r="H850" s="331">
        <v>720226</v>
      </c>
      <c r="I850" s="331">
        <v>0</v>
      </c>
      <c r="J850" s="331">
        <f t="shared" si="27"/>
        <v>720226</v>
      </c>
      <c r="K850" s="199">
        <v>0.98</v>
      </c>
      <c r="L850" s="199">
        <v>1.66</v>
      </c>
    </row>
    <row r="851" spans="1:12" ht="15" customHeight="1" x14ac:dyDescent="0.25">
      <c r="A851" s="49">
        <v>2001</v>
      </c>
      <c r="B851" s="330" t="s">
        <v>25</v>
      </c>
      <c r="C851" s="331">
        <v>75901549392</v>
      </c>
      <c r="D851" s="331">
        <v>36147985605</v>
      </c>
      <c r="E851" s="331">
        <v>327416491</v>
      </c>
      <c r="F851" s="331">
        <v>633839</v>
      </c>
      <c r="G851" s="332">
        <f t="shared" si="26"/>
        <v>8.3508044971056465E-6</v>
      </c>
      <c r="H851" s="331">
        <v>450003</v>
      </c>
      <c r="I851" s="331">
        <v>0</v>
      </c>
      <c r="J851" s="331">
        <f t="shared" si="27"/>
        <v>450003</v>
      </c>
      <c r="K851" s="199">
        <v>0.91</v>
      </c>
      <c r="L851" s="199">
        <v>1.57</v>
      </c>
    </row>
    <row r="852" spans="1:12" ht="15" customHeight="1" x14ac:dyDescent="0.25">
      <c r="A852" s="49">
        <v>2002</v>
      </c>
      <c r="B852" s="330" t="s">
        <v>25</v>
      </c>
      <c r="C852" s="331">
        <v>75746156253</v>
      </c>
      <c r="D852" s="331">
        <v>36793276652</v>
      </c>
      <c r="E852" s="331">
        <v>336528501</v>
      </c>
      <c r="F852" s="331">
        <v>818778</v>
      </c>
      <c r="G852" s="332">
        <f t="shared" si="26"/>
        <v>1.0809498996426918E-5</v>
      </c>
      <c r="H852" s="331">
        <v>131356</v>
      </c>
      <c r="I852" s="331">
        <v>0</v>
      </c>
      <c r="J852" s="331">
        <f t="shared" si="27"/>
        <v>131356</v>
      </c>
      <c r="K852" s="199">
        <v>0.92</v>
      </c>
      <c r="L852" s="199">
        <v>1.57</v>
      </c>
    </row>
    <row r="853" spans="1:12" ht="15" customHeight="1" x14ac:dyDescent="0.25">
      <c r="A853" s="49">
        <v>2003</v>
      </c>
      <c r="B853" s="330" t="s">
        <v>25</v>
      </c>
      <c r="C853" s="331">
        <v>77634938328</v>
      </c>
      <c r="D853" s="331">
        <v>37697582327</v>
      </c>
      <c r="E853" s="331">
        <v>513975128</v>
      </c>
      <c r="F853" s="331">
        <v>794504</v>
      </c>
      <c r="G853" s="332">
        <f t="shared" si="26"/>
        <v>1.0233845960478496E-5</v>
      </c>
      <c r="H853" s="331">
        <v>0</v>
      </c>
      <c r="I853" s="331">
        <v>175548</v>
      </c>
      <c r="J853" s="331">
        <f t="shared" si="27"/>
        <v>-175548</v>
      </c>
      <c r="K853" s="199">
        <v>1.36</v>
      </c>
      <c r="L853" s="199">
        <v>1.57</v>
      </c>
    </row>
    <row r="854" spans="1:12" ht="15" customHeight="1" x14ac:dyDescent="0.25">
      <c r="A854" s="49">
        <v>2004</v>
      </c>
      <c r="B854" s="330" t="s">
        <v>25</v>
      </c>
      <c r="C854" s="331">
        <v>82274928702</v>
      </c>
      <c r="D854" s="331">
        <v>38474621003</v>
      </c>
      <c r="E854" s="331">
        <v>617963207</v>
      </c>
      <c r="F854" s="331">
        <v>628584</v>
      </c>
      <c r="G854" s="332">
        <f t="shared" si="26"/>
        <v>7.6400430838017847E-6</v>
      </c>
      <c r="H854" s="331">
        <v>0</v>
      </c>
      <c r="I854" s="331">
        <v>123008</v>
      </c>
      <c r="J854" s="331">
        <f t="shared" si="27"/>
        <v>-123008</v>
      </c>
      <c r="K854" s="199">
        <v>1.61</v>
      </c>
      <c r="L854" s="199">
        <v>1.57</v>
      </c>
    </row>
    <row r="855" spans="1:12" ht="15" customHeight="1" x14ac:dyDescent="0.25">
      <c r="A855" s="49">
        <v>2005</v>
      </c>
      <c r="B855" s="330" t="s">
        <v>25</v>
      </c>
      <c r="C855" s="331">
        <v>83990935435</v>
      </c>
      <c r="D855" s="331">
        <v>40386549486</v>
      </c>
      <c r="E855" s="331">
        <v>758154613</v>
      </c>
      <c r="F855" s="331">
        <v>593200</v>
      </c>
      <c r="G855" s="332">
        <f t="shared" si="26"/>
        <v>7.0626669048003796E-6</v>
      </c>
      <c r="H855" s="331">
        <v>136091</v>
      </c>
      <c r="I855" s="331">
        <v>0</v>
      </c>
      <c r="J855" s="331">
        <f t="shared" si="27"/>
        <v>136091</v>
      </c>
      <c r="K855" s="199">
        <v>1.88</v>
      </c>
      <c r="L855" s="199">
        <v>1.57</v>
      </c>
    </row>
    <row r="856" spans="1:12" ht="15" customHeight="1" x14ac:dyDescent="0.25">
      <c r="A856" s="49">
        <v>2006</v>
      </c>
      <c r="B856" s="330" t="s">
        <v>25</v>
      </c>
      <c r="C856" s="331">
        <v>87474311610</v>
      </c>
      <c r="D856" s="331">
        <v>42211412000</v>
      </c>
      <c r="E856" s="331">
        <v>760948631</v>
      </c>
      <c r="F856" s="331">
        <v>622337</v>
      </c>
      <c r="G856" s="332">
        <f t="shared" si="26"/>
        <v>7.1145115468259931E-6</v>
      </c>
      <c r="H856" s="331">
        <v>396108</v>
      </c>
      <c r="I856" s="331">
        <v>0</v>
      </c>
      <c r="J856" s="331">
        <f t="shared" si="27"/>
        <v>396108</v>
      </c>
      <c r="K856" s="199">
        <v>1.8</v>
      </c>
      <c r="L856" s="199">
        <v>1.57</v>
      </c>
    </row>
    <row r="857" spans="1:12" ht="15" customHeight="1" x14ac:dyDescent="0.25">
      <c r="A857" s="49">
        <v>2007</v>
      </c>
      <c r="B857" s="330" t="s">
        <v>25</v>
      </c>
      <c r="C857" s="331">
        <v>92664765143</v>
      </c>
      <c r="D857" s="331">
        <v>42857084094</v>
      </c>
      <c r="E857" s="331">
        <v>717984226</v>
      </c>
      <c r="F857" s="331">
        <v>701385</v>
      </c>
      <c r="G857" s="332">
        <f t="shared" si="26"/>
        <v>7.5690581950714999E-6</v>
      </c>
      <c r="H857" s="331">
        <v>545587</v>
      </c>
      <c r="I857" s="331">
        <v>0</v>
      </c>
      <c r="J857" s="331">
        <f t="shared" si="27"/>
        <v>545587</v>
      </c>
      <c r="K857" s="199">
        <v>1.68</v>
      </c>
      <c r="L857" s="199">
        <v>1.57</v>
      </c>
    </row>
    <row r="858" spans="1:12" ht="15" customHeight="1" x14ac:dyDescent="0.25">
      <c r="A858" s="49">
        <v>2008</v>
      </c>
      <c r="B858" s="330" t="s">
        <v>25</v>
      </c>
      <c r="C858" s="331">
        <v>94597614042</v>
      </c>
      <c r="D858" s="331">
        <v>43865549650</v>
      </c>
      <c r="E858" s="331">
        <v>687750286</v>
      </c>
      <c r="F858" s="331">
        <v>835866</v>
      </c>
      <c r="G858" s="332">
        <f t="shared" si="26"/>
        <v>8.8360156697914953E-6</v>
      </c>
      <c r="H858" s="331">
        <v>508445</v>
      </c>
      <c r="I858" s="331">
        <v>0</v>
      </c>
      <c r="J858" s="331">
        <f t="shared" si="27"/>
        <v>508445</v>
      </c>
      <c r="K858" s="199">
        <v>1.6</v>
      </c>
      <c r="L858" s="199">
        <v>1.57</v>
      </c>
    </row>
    <row r="859" spans="1:12" ht="15" customHeight="1" x14ac:dyDescent="0.25">
      <c r="A859" s="49">
        <v>2009</v>
      </c>
      <c r="B859" s="330" t="s">
        <v>25</v>
      </c>
      <c r="C859" s="331">
        <v>87366981327</v>
      </c>
      <c r="D859" s="331">
        <v>42333227024</v>
      </c>
      <c r="E859" s="331">
        <v>628176970</v>
      </c>
      <c r="F859" s="331">
        <v>1601350</v>
      </c>
      <c r="G859" s="332">
        <f t="shared" si="26"/>
        <v>1.8329006859083465E-5</v>
      </c>
      <c r="H859" s="331">
        <v>9636</v>
      </c>
      <c r="I859" s="331">
        <v>281123</v>
      </c>
      <c r="J859" s="331">
        <f t="shared" si="27"/>
        <v>-271487</v>
      </c>
      <c r="K859" s="199">
        <v>1.5</v>
      </c>
      <c r="L859" s="199">
        <v>1.32</v>
      </c>
    </row>
    <row r="860" spans="1:12" ht="15" customHeight="1" x14ac:dyDescent="0.25">
      <c r="A860" s="49">
        <v>2010</v>
      </c>
      <c r="B860" s="330" t="s">
        <v>25</v>
      </c>
      <c r="C860" s="331">
        <v>89901393384</v>
      </c>
      <c r="D860" s="331">
        <v>43079841866</v>
      </c>
      <c r="E860" s="331">
        <v>808943321</v>
      </c>
      <c r="F860" s="331">
        <v>1123206</v>
      </c>
      <c r="G860" s="332">
        <f t="shared" si="26"/>
        <v>1.249375518800246E-5</v>
      </c>
      <c r="H860" s="331">
        <v>8882</v>
      </c>
      <c r="I860" s="331">
        <v>544704</v>
      </c>
      <c r="J860" s="331">
        <f t="shared" si="27"/>
        <v>-535822</v>
      </c>
      <c r="K860" s="199">
        <v>1.9</v>
      </c>
      <c r="L860" s="199">
        <v>1.39</v>
      </c>
    </row>
    <row r="861" spans="1:12" ht="15" customHeight="1" x14ac:dyDescent="0.25">
      <c r="A861" s="49">
        <v>2011</v>
      </c>
      <c r="B861" s="330" t="s">
        <v>25</v>
      </c>
      <c r="C861" s="331">
        <v>94303751265</v>
      </c>
      <c r="D861" s="331">
        <v>44499462083</v>
      </c>
      <c r="E861" s="331">
        <v>1042868089</v>
      </c>
      <c r="F861" s="331">
        <v>797923</v>
      </c>
      <c r="G861" s="332">
        <f t="shared" si="26"/>
        <v>8.4612010582461535E-6</v>
      </c>
      <c r="H861" s="331">
        <v>8856</v>
      </c>
      <c r="I861" s="331">
        <v>181725</v>
      </c>
      <c r="J861" s="331">
        <f t="shared" si="27"/>
        <v>-172869</v>
      </c>
      <c r="K861" s="199">
        <v>2.2999999999999998</v>
      </c>
      <c r="L861" s="199">
        <v>1.39</v>
      </c>
    </row>
    <row r="862" spans="1:12" ht="15" customHeight="1" x14ac:dyDescent="0.25">
      <c r="A862" s="49">
        <v>2012</v>
      </c>
      <c r="B862" s="330" t="s">
        <v>25</v>
      </c>
      <c r="C862" s="331">
        <v>99318007655</v>
      </c>
      <c r="D862" s="331">
        <v>46543277004</v>
      </c>
      <c r="E862" s="331">
        <v>1150265150</v>
      </c>
      <c r="F862" s="331">
        <v>752211</v>
      </c>
      <c r="G862" s="332">
        <f t="shared" si="26"/>
        <v>7.5737624803444312E-6</v>
      </c>
      <c r="H862" s="331">
        <v>448266</v>
      </c>
      <c r="I862" s="331">
        <v>0</v>
      </c>
      <c r="J862" s="331">
        <f t="shared" si="27"/>
        <v>448266</v>
      </c>
      <c r="K862" s="199">
        <v>2.4700000000000002</v>
      </c>
      <c r="L862" s="199">
        <v>1.39</v>
      </c>
    </row>
    <row r="863" spans="1:12" ht="15" customHeight="1" x14ac:dyDescent="0.25">
      <c r="A863" s="49">
        <v>2013</v>
      </c>
      <c r="B863" s="330" t="s">
        <v>25</v>
      </c>
      <c r="C863" s="331">
        <v>102669763654</v>
      </c>
      <c r="D863" s="331">
        <v>49271085128</v>
      </c>
      <c r="E863" s="331">
        <v>1234254513</v>
      </c>
      <c r="F863" s="331">
        <v>742266</v>
      </c>
      <c r="G863" s="332">
        <f t="shared" si="26"/>
        <v>7.2296455507724488E-6</v>
      </c>
      <c r="H863" s="331">
        <v>1122384</v>
      </c>
      <c r="I863" s="331">
        <v>0</v>
      </c>
      <c r="J863" s="331">
        <f t="shared" si="27"/>
        <v>1122384</v>
      </c>
      <c r="K863" s="199">
        <v>2.5</v>
      </c>
      <c r="L863" s="199">
        <v>1.39</v>
      </c>
    </row>
    <row r="864" spans="1:12" ht="15" customHeight="1" x14ac:dyDescent="0.25">
      <c r="A864" s="49">
        <v>2014</v>
      </c>
      <c r="B864" s="330" t="s">
        <v>25</v>
      </c>
      <c r="C864" s="331">
        <v>107327830915</v>
      </c>
      <c r="D864" s="331">
        <v>50745382494</v>
      </c>
      <c r="E864" s="331">
        <v>962236816</v>
      </c>
      <c r="F864" s="331">
        <v>695210</v>
      </c>
      <c r="G864" s="332">
        <f t="shared" si="26"/>
        <v>6.4774438658932998E-6</v>
      </c>
      <c r="H864" s="331">
        <v>1463265</v>
      </c>
      <c r="I864" s="331">
        <v>0</v>
      </c>
      <c r="J864" s="331">
        <f t="shared" si="27"/>
        <v>1463265</v>
      </c>
      <c r="K864" s="333">
        <v>1.89620566189204</v>
      </c>
      <c r="L864" s="199">
        <v>1.39</v>
      </c>
    </row>
    <row r="865" spans="1:12" ht="15" customHeight="1" x14ac:dyDescent="0.25">
      <c r="A865" s="49">
        <v>2015</v>
      </c>
      <c r="B865" s="330" t="s">
        <v>25</v>
      </c>
      <c r="C865" s="334">
        <v>113443423000</v>
      </c>
      <c r="D865" s="334">
        <v>53997704000</v>
      </c>
      <c r="E865" s="334">
        <v>831680000</v>
      </c>
      <c r="F865" s="331">
        <v>665030</v>
      </c>
      <c r="G865" s="332">
        <f t="shared" si="26"/>
        <v>5.8622173274866715E-6</v>
      </c>
      <c r="H865" s="331">
        <v>1664584</v>
      </c>
      <c r="I865" s="199">
        <v>0</v>
      </c>
      <c r="J865" s="331">
        <f t="shared" si="27"/>
        <v>1664584</v>
      </c>
      <c r="K865" s="199">
        <v>1.5</v>
      </c>
      <c r="L865" s="199">
        <v>1.39</v>
      </c>
    </row>
    <row r="866" spans="1:12" ht="15" customHeight="1" x14ac:dyDescent="0.25">
      <c r="A866" s="49">
        <v>1980</v>
      </c>
      <c r="B866" s="330" t="s">
        <v>26</v>
      </c>
      <c r="C866" s="331">
        <v>21221108106</v>
      </c>
      <c r="D866" s="331">
        <v>9110858997</v>
      </c>
      <c r="E866" s="331">
        <v>91694336</v>
      </c>
      <c r="F866" s="331">
        <v>278426</v>
      </c>
      <c r="G866" s="332">
        <f t="shared" si="26"/>
        <v>1.3120238519555847E-5</v>
      </c>
      <c r="H866" s="331">
        <v>125698</v>
      </c>
      <c r="I866" s="331">
        <v>0</v>
      </c>
      <c r="J866" s="331">
        <f t="shared" si="27"/>
        <v>125698</v>
      </c>
      <c r="K866" s="199">
        <v>1.01</v>
      </c>
      <c r="L866" s="199">
        <v>1.53</v>
      </c>
    </row>
    <row r="867" spans="1:12" ht="15" customHeight="1" x14ac:dyDescent="0.25">
      <c r="A867" s="49">
        <v>1981</v>
      </c>
      <c r="B867" s="330" t="s">
        <v>26</v>
      </c>
      <c r="C867" s="331">
        <v>22850179793</v>
      </c>
      <c r="D867" s="331">
        <v>9181468843</v>
      </c>
      <c r="E867" s="331">
        <v>145768638</v>
      </c>
      <c r="F867" s="331">
        <v>253067</v>
      </c>
      <c r="G867" s="332">
        <f t="shared" si="26"/>
        <v>1.1075055088954941E-5</v>
      </c>
      <c r="H867" s="331">
        <v>1188</v>
      </c>
      <c r="I867" s="331">
        <v>0</v>
      </c>
      <c r="J867" s="331">
        <f t="shared" si="27"/>
        <v>1188</v>
      </c>
      <c r="K867" s="199">
        <v>1.59</v>
      </c>
      <c r="L867" s="199">
        <v>1.53</v>
      </c>
    </row>
    <row r="868" spans="1:12" ht="15" customHeight="1" x14ac:dyDescent="0.25">
      <c r="A868" s="49">
        <v>1982</v>
      </c>
      <c r="B868" s="330" t="s">
        <v>26</v>
      </c>
      <c r="C868" s="331">
        <v>23694805462</v>
      </c>
      <c r="D868" s="331">
        <v>9554708994</v>
      </c>
      <c r="E868" s="331">
        <v>279776922</v>
      </c>
      <c r="F868" s="331">
        <v>301768</v>
      </c>
      <c r="G868" s="332">
        <f t="shared" si="26"/>
        <v>1.2735618382010078E-5</v>
      </c>
      <c r="H868" s="331">
        <v>25518</v>
      </c>
      <c r="I868" s="331">
        <v>89825</v>
      </c>
      <c r="J868" s="331">
        <f t="shared" si="27"/>
        <v>-64307</v>
      </c>
      <c r="K868" s="199">
        <v>2.93</v>
      </c>
      <c r="L868" s="199">
        <v>1.56</v>
      </c>
    </row>
    <row r="869" spans="1:12" ht="15" customHeight="1" x14ac:dyDescent="0.25">
      <c r="A869" s="49">
        <v>1983</v>
      </c>
      <c r="B869" s="330" t="s">
        <v>26</v>
      </c>
      <c r="C869" s="331">
        <v>25068628202</v>
      </c>
      <c r="D869" s="331">
        <v>10141596055</v>
      </c>
      <c r="E869" s="331">
        <v>279905426</v>
      </c>
      <c r="F869" s="331">
        <v>242747</v>
      </c>
      <c r="G869" s="332">
        <f t="shared" si="26"/>
        <v>9.6832981064609424E-6</v>
      </c>
      <c r="H869" s="331">
        <v>55754</v>
      </c>
      <c r="I869" s="331">
        <v>89825</v>
      </c>
      <c r="J869" s="331">
        <f t="shared" si="27"/>
        <v>-34071</v>
      </c>
      <c r="K869" s="199">
        <v>2.76</v>
      </c>
      <c r="L869" s="199">
        <v>1.56</v>
      </c>
    </row>
    <row r="870" spans="1:12" ht="15" customHeight="1" x14ac:dyDescent="0.25">
      <c r="A870" s="49">
        <v>1984</v>
      </c>
      <c r="B870" s="330" t="s">
        <v>26</v>
      </c>
      <c r="C870" s="331">
        <v>27865114388</v>
      </c>
      <c r="D870" s="331">
        <v>10889301397</v>
      </c>
      <c r="E870" s="331">
        <v>287132031</v>
      </c>
      <c r="F870" s="331">
        <v>165356</v>
      </c>
      <c r="G870" s="332">
        <f t="shared" si="26"/>
        <v>5.9341583062443809E-6</v>
      </c>
      <c r="H870" s="331">
        <v>93700</v>
      </c>
      <c r="I870" s="331">
        <v>0</v>
      </c>
      <c r="J870" s="331">
        <f t="shared" si="27"/>
        <v>93700</v>
      </c>
      <c r="K870" s="199">
        <v>2.64</v>
      </c>
      <c r="L870" s="199">
        <v>1.56</v>
      </c>
    </row>
    <row r="871" spans="1:12" ht="15" customHeight="1" x14ac:dyDescent="0.25">
      <c r="A871" s="49">
        <v>1985</v>
      </c>
      <c r="B871" s="330" t="s">
        <v>26</v>
      </c>
      <c r="C871" s="331">
        <v>29955425800</v>
      </c>
      <c r="D871" s="331">
        <v>12426242185</v>
      </c>
      <c r="E871" s="331">
        <v>303692371</v>
      </c>
      <c r="F871" s="331">
        <v>190613</v>
      </c>
      <c r="G871" s="332">
        <f t="shared" si="26"/>
        <v>6.3632211831220242E-6</v>
      </c>
      <c r="H871" s="331">
        <v>224585</v>
      </c>
      <c r="I871" s="331">
        <v>0</v>
      </c>
      <c r="J871" s="331">
        <f t="shared" si="27"/>
        <v>224585</v>
      </c>
      <c r="K871" s="199">
        <v>2.44</v>
      </c>
      <c r="L871" s="199">
        <v>1.56</v>
      </c>
    </row>
    <row r="872" spans="1:12" ht="15" customHeight="1" x14ac:dyDescent="0.25">
      <c r="A872" s="49">
        <v>1986</v>
      </c>
      <c r="B872" s="330" t="s">
        <v>26</v>
      </c>
      <c r="C872" s="331">
        <v>31673078789</v>
      </c>
      <c r="D872" s="331">
        <v>12867214108</v>
      </c>
      <c r="E872" s="331">
        <v>294645044</v>
      </c>
      <c r="F872" s="331">
        <v>221226</v>
      </c>
      <c r="G872" s="332">
        <f t="shared" si="26"/>
        <v>6.9846698981733149E-6</v>
      </c>
      <c r="H872" s="331">
        <v>330100</v>
      </c>
      <c r="I872" s="331">
        <v>0</v>
      </c>
      <c r="J872" s="331">
        <f t="shared" si="27"/>
        <v>330100</v>
      </c>
      <c r="K872" s="199">
        <v>2.29</v>
      </c>
      <c r="L872" s="199">
        <v>1.56</v>
      </c>
    </row>
    <row r="873" spans="1:12" ht="15" customHeight="1" x14ac:dyDescent="0.25">
      <c r="A873" s="49">
        <v>1987</v>
      </c>
      <c r="B873" s="330" t="s">
        <v>26</v>
      </c>
      <c r="C873" s="331">
        <v>33563088653</v>
      </c>
      <c r="D873" s="331">
        <v>12682009382</v>
      </c>
      <c r="E873" s="331">
        <v>215789964</v>
      </c>
      <c r="F873" s="331">
        <v>224119</v>
      </c>
      <c r="G873" s="332">
        <f t="shared" si="26"/>
        <v>6.6775439625687539E-6</v>
      </c>
      <c r="H873" s="331">
        <v>365983</v>
      </c>
      <c r="I873" s="331">
        <v>0</v>
      </c>
      <c r="J873" s="331">
        <f t="shared" si="27"/>
        <v>365983</v>
      </c>
      <c r="K873" s="199">
        <v>1.7</v>
      </c>
      <c r="L873" s="199">
        <v>1.56</v>
      </c>
    </row>
    <row r="874" spans="1:12" ht="15" customHeight="1" x14ac:dyDescent="0.25">
      <c r="A874" s="49">
        <v>1988</v>
      </c>
      <c r="B874" s="330" t="s">
        <v>26</v>
      </c>
      <c r="C874" s="331">
        <v>35682025755</v>
      </c>
      <c r="D874" s="331">
        <v>12440222459</v>
      </c>
      <c r="E874" s="331">
        <v>205715138</v>
      </c>
      <c r="F874" s="331">
        <v>220060</v>
      </c>
      <c r="G874" s="332">
        <f t="shared" si="26"/>
        <v>6.1672507472242871E-6</v>
      </c>
      <c r="H874" s="331">
        <v>386954</v>
      </c>
      <c r="I874" s="331">
        <v>0</v>
      </c>
      <c r="J874" s="331">
        <f t="shared" si="27"/>
        <v>386954</v>
      </c>
      <c r="K874" s="199">
        <v>1.65</v>
      </c>
      <c r="L874" s="199">
        <v>1.56</v>
      </c>
    </row>
    <row r="875" spans="1:12" ht="15" customHeight="1" x14ac:dyDescent="0.25">
      <c r="A875" s="49">
        <v>1989</v>
      </c>
      <c r="B875" s="330" t="s">
        <v>26</v>
      </c>
      <c r="C875" s="331">
        <v>37502520939</v>
      </c>
      <c r="D875" s="331">
        <v>12766948279</v>
      </c>
      <c r="E875" s="331">
        <v>190022821</v>
      </c>
      <c r="F875" s="331">
        <v>242915</v>
      </c>
      <c r="G875" s="332">
        <f t="shared" si="26"/>
        <v>6.4772978967231338E-6</v>
      </c>
      <c r="H875" s="331">
        <v>371934</v>
      </c>
      <c r="I875" s="331">
        <v>0</v>
      </c>
      <c r="J875" s="331">
        <f t="shared" si="27"/>
        <v>371934</v>
      </c>
      <c r="K875" s="199">
        <v>1.49</v>
      </c>
      <c r="L875" s="199">
        <v>1.56</v>
      </c>
    </row>
    <row r="876" spans="1:12" x14ac:dyDescent="0.25">
      <c r="A876" s="49">
        <v>1990</v>
      </c>
      <c r="B876" s="330" t="s">
        <v>26</v>
      </c>
      <c r="C876" s="331">
        <v>39025376692</v>
      </c>
      <c r="D876" s="331">
        <v>12947881022</v>
      </c>
      <c r="E876" s="331">
        <v>188424955</v>
      </c>
      <c r="F876" s="331">
        <v>289305</v>
      </c>
      <c r="G876" s="332">
        <f t="shared" si="26"/>
        <v>7.4132532347677771E-6</v>
      </c>
      <c r="H876" s="331">
        <v>298573</v>
      </c>
      <c r="I876" s="331">
        <v>0</v>
      </c>
      <c r="J876" s="331">
        <f t="shared" si="27"/>
        <v>298573</v>
      </c>
      <c r="K876" s="199">
        <v>1.46</v>
      </c>
      <c r="L876" s="199">
        <v>1.56</v>
      </c>
    </row>
    <row r="877" spans="1:12" ht="15" customHeight="1" x14ac:dyDescent="0.25">
      <c r="A877" s="49">
        <v>1991</v>
      </c>
      <c r="B877" s="330" t="s">
        <v>26</v>
      </c>
      <c r="C877" s="331">
        <v>39491482378</v>
      </c>
      <c r="D877" s="331">
        <v>12752772589</v>
      </c>
      <c r="E877" s="331">
        <v>199807940</v>
      </c>
      <c r="F877" s="331">
        <v>396898</v>
      </c>
      <c r="G877" s="332">
        <f t="shared" si="26"/>
        <v>1.0050217821681589E-5</v>
      </c>
      <c r="H877" s="331">
        <v>119473</v>
      </c>
      <c r="I877" s="331">
        <v>0</v>
      </c>
      <c r="J877" s="331">
        <f t="shared" si="27"/>
        <v>119473</v>
      </c>
      <c r="K877" s="199">
        <v>1.57</v>
      </c>
      <c r="L877" s="199">
        <v>1.56</v>
      </c>
    </row>
    <row r="878" spans="1:12" ht="15" customHeight="1" x14ac:dyDescent="0.25">
      <c r="A878" s="49">
        <v>1992</v>
      </c>
      <c r="B878" s="330" t="s">
        <v>26</v>
      </c>
      <c r="C878" s="331">
        <v>41731811183</v>
      </c>
      <c r="D878" s="331">
        <v>12949492252</v>
      </c>
      <c r="E878" s="331">
        <v>259528053</v>
      </c>
      <c r="F878" s="331">
        <v>371986</v>
      </c>
      <c r="G878" s="332">
        <f t="shared" si="26"/>
        <v>8.9137276685353493E-6</v>
      </c>
      <c r="H878" s="331">
        <v>3101</v>
      </c>
      <c r="I878" s="331">
        <v>0</v>
      </c>
      <c r="J878" s="331">
        <f t="shared" si="27"/>
        <v>3101</v>
      </c>
      <c r="K878" s="199">
        <v>2</v>
      </c>
      <c r="L878" s="199">
        <v>1.56</v>
      </c>
    </row>
    <row r="879" spans="1:12" ht="15" customHeight="1" x14ac:dyDescent="0.25">
      <c r="A879" s="49">
        <v>1993</v>
      </c>
      <c r="B879" s="330" t="s">
        <v>26</v>
      </c>
      <c r="C879" s="331">
        <v>43294989419</v>
      </c>
      <c r="D879" s="331">
        <v>14127301204</v>
      </c>
      <c r="E879" s="331">
        <v>315529160</v>
      </c>
      <c r="F879" s="331">
        <v>314639</v>
      </c>
      <c r="G879" s="332">
        <f t="shared" si="26"/>
        <v>7.2673305669390165E-6</v>
      </c>
      <c r="H879" s="331">
        <v>62251</v>
      </c>
      <c r="I879" s="331">
        <v>70000</v>
      </c>
      <c r="J879" s="331">
        <f t="shared" si="27"/>
        <v>-7749</v>
      </c>
      <c r="K879" s="199">
        <v>2.23</v>
      </c>
      <c r="L879" s="199">
        <v>1.56</v>
      </c>
    </row>
    <row r="880" spans="1:12" ht="15" customHeight="1" x14ac:dyDescent="0.25">
      <c r="A880" s="49">
        <v>1994</v>
      </c>
      <c r="B880" s="330" t="s">
        <v>26</v>
      </c>
      <c r="C880" s="331">
        <v>46264652599</v>
      </c>
      <c r="D880" s="331">
        <v>16276860044</v>
      </c>
      <c r="E880" s="331">
        <v>435077632</v>
      </c>
      <c r="F880" s="331">
        <v>302546</v>
      </c>
      <c r="G880" s="332">
        <f t="shared" si="26"/>
        <v>6.5394633484514578E-6</v>
      </c>
      <c r="H880" s="331">
        <v>118466</v>
      </c>
      <c r="I880" s="331">
        <v>0</v>
      </c>
      <c r="J880" s="331">
        <f t="shared" si="27"/>
        <v>118466</v>
      </c>
      <c r="K880" s="199">
        <v>2.67</v>
      </c>
      <c r="L880" s="199">
        <v>1.56</v>
      </c>
    </row>
    <row r="881" spans="1:12" ht="15" customHeight="1" x14ac:dyDescent="0.25">
      <c r="A881" s="49">
        <v>1995</v>
      </c>
      <c r="B881" s="330" t="s">
        <v>26</v>
      </c>
      <c r="C881" s="331">
        <v>49515236284</v>
      </c>
      <c r="D881" s="331">
        <v>17056253263</v>
      </c>
      <c r="E881" s="331">
        <v>346931624</v>
      </c>
      <c r="F881" s="331">
        <v>271915</v>
      </c>
      <c r="G881" s="332">
        <f t="shared" si="26"/>
        <v>5.4915420061898133E-6</v>
      </c>
      <c r="H881" s="331">
        <v>196933</v>
      </c>
      <c r="I881" s="331">
        <v>0</v>
      </c>
      <c r="J881" s="331">
        <f t="shared" si="27"/>
        <v>196933</v>
      </c>
      <c r="K881" s="199">
        <v>2.0299999999999998</v>
      </c>
      <c r="L881" s="199">
        <v>1.31</v>
      </c>
    </row>
    <row r="882" spans="1:12" ht="15" customHeight="1" x14ac:dyDescent="0.25">
      <c r="A882" s="49">
        <v>1996</v>
      </c>
      <c r="B882" s="330" t="s">
        <v>26</v>
      </c>
      <c r="C882" s="331">
        <v>52319128469</v>
      </c>
      <c r="D882" s="331">
        <v>17429619364</v>
      </c>
      <c r="E882" s="331">
        <v>346073450</v>
      </c>
      <c r="F882" s="331">
        <v>286691</v>
      </c>
      <c r="G882" s="332">
        <f t="shared" si="26"/>
        <v>5.4796593213487764E-6</v>
      </c>
      <c r="H882" s="331">
        <v>307507</v>
      </c>
      <c r="I882" s="331">
        <v>0</v>
      </c>
      <c r="J882" s="331">
        <f t="shared" si="27"/>
        <v>307507</v>
      </c>
      <c r="K882" s="199">
        <v>1.99</v>
      </c>
      <c r="L882" s="199">
        <v>1.3</v>
      </c>
    </row>
    <row r="883" spans="1:12" ht="15" customHeight="1" x14ac:dyDescent="0.25">
      <c r="A883" s="49">
        <v>1997</v>
      </c>
      <c r="B883" s="330" t="s">
        <v>26</v>
      </c>
      <c r="C883" s="331">
        <v>56301696994</v>
      </c>
      <c r="D883" s="331">
        <v>17503152067</v>
      </c>
      <c r="E883" s="331">
        <v>346242427</v>
      </c>
      <c r="F883" s="331">
        <v>261962</v>
      </c>
      <c r="G883" s="332">
        <f t="shared" si="26"/>
        <v>4.6528260067883381E-6</v>
      </c>
      <c r="H883" s="331">
        <v>417706</v>
      </c>
      <c r="I883" s="331">
        <v>0</v>
      </c>
      <c r="J883" s="331">
        <f t="shared" si="27"/>
        <v>417706</v>
      </c>
      <c r="K883" s="199">
        <v>1.98</v>
      </c>
      <c r="L883" s="199">
        <v>1.3</v>
      </c>
    </row>
    <row r="884" spans="1:12" ht="15" customHeight="1" x14ac:dyDescent="0.25">
      <c r="A884" s="49">
        <v>1998</v>
      </c>
      <c r="B884" s="330" t="s">
        <v>26</v>
      </c>
      <c r="C884" s="331">
        <v>59996235751</v>
      </c>
      <c r="D884" s="331">
        <v>18883000972</v>
      </c>
      <c r="E884" s="331">
        <v>327525449</v>
      </c>
      <c r="F884" s="331">
        <v>259913</v>
      </c>
      <c r="G884" s="332">
        <f t="shared" si="26"/>
        <v>4.3321551218430874E-6</v>
      </c>
      <c r="H884" s="331">
        <v>505954</v>
      </c>
      <c r="I884" s="331">
        <v>0</v>
      </c>
      <c r="J884" s="331">
        <f t="shared" si="27"/>
        <v>505954</v>
      </c>
      <c r="K884" s="199">
        <v>1.73</v>
      </c>
      <c r="L884" s="199">
        <v>1.3</v>
      </c>
    </row>
    <row r="885" spans="1:12" ht="15" customHeight="1" x14ac:dyDescent="0.25">
      <c r="A885" s="49">
        <v>1999</v>
      </c>
      <c r="B885" s="330" t="s">
        <v>26</v>
      </c>
      <c r="C885" s="331">
        <v>63241156041</v>
      </c>
      <c r="D885" s="331">
        <v>18616391082</v>
      </c>
      <c r="E885" s="331">
        <v>258483469</v>
      </c>
      <c r="F885" s="331">
        <v>277176</v>
      </c>
      <c r="G885" s="332">
        <f t="shared" si="26"/>
        <v>4.3828420818288567E-6</v>
      </c>
      <c r="H885" s="331">
        <v>525243</v>
      </c>
      <c r="I885" s="331">
        <v>0</v>
      </c>
      <c r="J885" s="331">
        <f t="shared" si="27"/>
        <v>525243</v>
      </c>
      <c r="K885" s="199">
        <v>1.39</v>
      </c>
      <c r="L885" s="199">
        <v>1.3</v>
      </c>
    </row>
    <row r="886" spans="1:12" ht="15" customHeight="1" x14ac:dyDescent="0.25">
      <c r="A886" s="49">
        <v>2000</v>
      </c>
      <c r="B886" s="330" t="s">
        <v>26</v>
      </c>
      <c r="C886" s="331">
        <v>66963143328</v>
      </c>
      <c r="D886" s="331">
        <v>18215005315</v>
      </c>
      <c r="E886" s="331">
        <v>229572852</v>
      </c>
      <c r="F886" s="331">
        <v>313857</v>
      </c>
      <c r="G886" s="332">
        <f t="shared" si="26"/>
        <v>4.6870111587005456E-6</v>
      </c>
      <c r="H886" s="331">
        <v>484904</v>
      </c>
      <c r="I886" s="331">
        <v>0</v>
      </c>
      <c r="J886" s="331">
        <f t="shared" si="27"/>
        <v>484904</v>
      </c>
      <c r="K886" s="199">
        <v>1.26</v>
      </c>
      <c r="L886" s="199">
        <v>1.3</v>
      </c>
    </row>
    <row r="887" spans="1:12" ht="15" customHeight="1" x14ac:dyDescent="0.25">
      <c r="A887" s="49">
        <v>2001</v>
      </c>
      <c r="B887" s="330" t="s">
        <v>26</v>
      </c>
      <c r="C887" s="331">
        <v>68065963582</v>
      </c>
      <c r="D887" s="331">
        <v>16962577872</v>
      </c>
      <c r="E887" s="331">
        <v>233082414</v>
      </c>
      <c r="F887" s="331">
        <v>470749</v>
      </c>
      <c r="G887" s="332">
        <f t="shared" si="26"/>
        <v>6.9160704591051916E-6</v>
      </c>
      <c r="H887" s="331">
        <v>276308</v>
      </c>
      <c r="I887" s="331">
        <v>0</v>
      </c>
      <c r="J887" s="331">
        <f t="shared" si="27"/>
        <v>276308</v>
      </c>
      <c r="K887" s="199">
        <v>1.37</v>
      </c>
      <c r="L887" s="199">
        <v>1.17</v>
      </c>
    </row>
    <row r="888" spans="1:12" ht="15" customHeight="1" x14ac:dyDescent="0.25">
      <c r="A888" s="49">
        <v>2002</v>
      </c>
      <c r="B888" s="330" t="s">
        <v>26</v>
      </c>
      <c r="C888" s="331">
        <v>68331403901</v>
      </c>
      <c r="D888" s="331">
        <v>16578238726</v>
      </c>
      <c r="E888" s="331">
        <v>250548727</v>
      </c>
      <c r="F888" s="331">
        <v>564205</v>
      </c>
      <c r="G888" s="332">
        <f t="shared" si="26"/>
        <v>8.256891674835663E-6</v>
      </c>
      <c r="H888" s="331">
        <v>137442</v>
      </c>
      <c r="I888" s="331">
        <v>0</v>
      </c>
      <c r="J888" s="331">
        <f t="shared" si="27"/>
        <v>137442</v>
      </c>
      <c r="K888" s="199">
        <v>1.51</v>
      </c>
      <c r="L888" s="199">
        <v>1.17</v>
      </c>
    </row>
    <row r="889" spans="1:12" ht="15" customHeight="1" x14ac:dyDescent="0.25">
      <c r="A889" s="49">
        <v>2003</v>
      </c>
      <c r="B889" s="330" t="s">
        <v>26</v>
      </c>
      <c r="C889" s="331">
        <v>69215586196</v>
      </c>
      <c r="D889" s="331">
        <v>17296399057</v>
      </c>
      <c r="E889" s="331">
        <v>325630206</v>
      </c>
      <c r="F889" s="331">
        <v>591919</v>
      </c>
      <c r="G889" s="332">
        <f t="shared" si="26"/>
        <v>8.5518166143077079E-6</v>
      </c>
      <c r="H889" s="331">
        <v>3694</v>
      </c>
      <c r="I889" s="331">
        <v>142924</v>
      </c>
      <c r="J889" s="331">
        <f t="shared" si="27"/>
        <v>-139230</v>
      </c>
      <c r="K889" s="199">
        <v>1.88</v>
      </c>
      <c r="L889" s="199">
        <v>1.17</v>
      </c>
    </row>
    <row r="890" spans="1:12" ht="15" customHeight="1" x14ac:dyDescent="0.25">
      <c r="A890" s="49">
        <v>2004</v>
      </c>
      <c r="B890" s="330" t="s">
        <v>26</v>
      </c>
      <c r="C890" s="331">
        <v>71746038335</v>
      </c>
      <c r="D890" s="331">
        <v>18454170919</v>
      </c>
      <c r="E890" s="331">
        <v>363625632</v>
      </c>
      <c r="F890" s="331">
        <v>497995</v>
      </c>
      <c r="G890" s="332">
        <f t="shared" si="26"/>
        <v>6.9410801147617122E-6</v>
      </c>
      <c r="H890" s="331">
        <v>18261</v>
      </c>
      <c r="I890" s="331">
        <v>288557</v>
      </c>
      <c r="J890" s="331">
        <f t="shared" si="27"/>
        <v>-270296</v>
      </c>
      <c r="K890" s="199">
        <v>1.97</v>
      </c>
      <c r="L890" s="199">
        <v>1.17</v>
      </c>
    </row>
    <row r="891" spans="1:12" ht="15" customHeight="1" x14ac:dyDescent="0.25">
      <c r="A891" s="49">
        <v>2005</v>
      </c>
      <c r="B891" s="330" t="s">
        <v>26</v>
      </c>
      <c r="C891" s="331">
        <v>75218582545</v>
      </c>
      <c r="D891" s="331">
        <v>23828475881</v>
      </c>
      <c r="E891" s="331">
        <v>494767308</v>
      </c>
      <c r="F891" s="331">
        <v>415191</v>
      </c>
      <c r="G891" s="332">
        <f t="shared" si="26"/>
        <v>5.519792928185124E-6</v>
      </c>
      <c r="H891" s="331">
        <v>46854</v>
      </c>
      <c r="I891" s="331">
        <v>238257</v>
      </c>
      <c r="J891" s="331">
        <f t="shared" si="27"/>
        <v>-191403</v>
      </c>
      <c r="K891" s="199">
        <v>2.08</v>
      </c>
      <c r="L891" s="199">
        <v>1.17</v>
      </c>
    </row>
    <row r="892" spans="1:12" ht="15" customHeight="1" x14ac:dyDescent="0.25">
      <c r="A892" s="49">
        <v>2006</v>
      </c>
      <c r="B892" s="330" t="s">
        <v>26</v>
      </c>
      <c r="C892" s="331">
        <v>78705168929</v>
      </c>
      <c r="D892" s="331">
        <v>24391126923</v>
      </c>
      <c r="E892" s="331">
        <v>534579679</v>
      </c>
      <c r="F892" s="331">
        <v>385609</v>
      </c>
      <c r="G892" s="332">
        <f t="shared" si="26"/>
        <v>4.8994113759905427E-6</v>
      </c>
      <c r="H892" s="331">
        <v>241788</v>
      </c>
      <c r="I892" s="331">
        <v>135457</v>
      </c>
      <c r="J892" s="331">
        <f t="shared" si="27"/>
        <v>106331</v>
      </c>
      <c r="K892" s="199">
        <v>2.19</v>
      </c>
      <c r="L892" s="199">
        <v>1.17</v>
      </c>
    </row>
    <row r="893" spans="1:12" ht="15" customHeight="1" x14ac:dyDescent="0.25">
      <c r="A893" s="49">
        <v>2007</v>
      </c>
      <c r="B893" s="330" t="s">
        <v>26</v>
      </c>
      <c r="C893" s="331">
        <v>82260518998</v>
      </c>
      <c r="D893" s="331">
        <v>24832549552</v>
      </c>
      <c r="E893" s="331">
        <v>548678944</v>
      </c>
      <c r="F893" s="331">
        <v>413759</v>
      </c>
      <c r="G893" s="332">
        <f t="shared" si="26"/>
        <v>5.0298612875279783E-6</v>
      </c>
      <c r="H893" s="331">
        <v>113246</v>
      </c>
      <c r="I893" s="331">
        <v>0</v>
      </c>
      <c r="J893" s="331">
        <f t="shared" si="27"/>
        <v>113246</v>
      </c>
      <c r="K893" s="199">
        <v>2.21</v>
      </c>
      <c r="L893" s="199">
        <v>1.17</v>
      </c>
    </row>
    <row r="894" spans="1:12" ht="15" customHeight="1" x14ac:dyDescent="0.25">
      <c r="A894" s="49">
        <v>2008</v>
      </c>
      <c r="B894" s="330" t="s">
        <v>26</v>
      </c>
      <c r="C894" s="331">
        <v>85473548136</v>
      </c>
      <c r="D894" s="331">
        <v>26418006809</v>
      </c>
      <c r="E894" s="331">
        <v>578640131</v>
      </c>
      <c r="F894" s="331">
        <v>569002</v>
      </c>
      <c r="G894" s="332">
        <f t="shared" si="26"/>
        <v>6.6570537015105617E-6</v>
      </c>
      <c r="H894" s="331">
        <v>118483</v>
      </c>
      <c r="I894" s="331">
        <v>0</v>
      </c>
      <c r="J894" s="331">
        <f t="shared" si="27"/>
        <v>118483</v>
      </c>
      <c r="K894" s="199">
        <v>2.2000000000000002</v>
      </c>
      <c r="L894" s="199">
        <v>1.17</v>
      </c>
    </row>
    <row r="895" spans="1:12" ht="15" customHeight="1" x14ac:dyDescent="0.25">
      <c r="A895" s="49">
        <v>2009</v>
      </c>
      <c r="B895" s="330" t="s">
        <v>26</v>
      </c>
      <c r="C895" s="331">
        <v>79327001604</v>
      </c>
      <c r="D895" s="331">
        <v>25373443772</v>
      </c>
      <c r="E895" s="331">
        <v>510104784</v>
      </c>
      <c r="F895" s="331">
        <v>1098391</v>
      </c>
      <c r="G895" s="332">
        <f t="shared" si="26"/>
        <v>1.3846369808393395E-5</v>
      </c>
      <c r="H895" s="331">
        <v>13878</v>
      </c>
      <c r="I895" s="331">
        <v>474345</v>
      </c>
      <c r="J895" s="331">
        <f t="shared" si="27"/>
        <v>-460467</v>
      </c>
      <c r="K895" s="199">
        <v>2</v>
      </c>
      <c r="L895" s="199">
        <v>1.0900000000000001</v>
      </c>
    </row>
    <row r="896" spans="1:12" ht="15" customHeight="1" x14ac:dyDescent="0.25">
      <c r="A896" s="49">
        <v>2010</v>
      </c>
      <c r="B896" s="330" t="s">
        <v>26</v>
      </c>
      <c r="C896" s="331">
        <v>79479861650</v>
      </c>
      <c r="D896" s="331">
        <v>25887384826</v>
      </c>
      <c r="E896" s="331">
        <v>550399158</v>
      </c>
      <c r="F896" s="331">
        <v>792933</v>
      </c>
      <c r="G896" s="332">
        <f t="shared" si="26"/>
        <v>9.9765271798255578E-6</v>
      </c>
      <c r="H896" s="331">
        <v>18537</v>
      </c>
      <c r="I896" s="331">
        <v>722117</v>
      </c>
      <c r="J896" s="331">
        <f t="shared" si="27"/>
        <v>-703580</v>
      </c>
      <c r="K896" s="199">
        <v>2.1</v>
      </c>
      <c r="L896" s="199">
        <v>1.1299999999999999</v>
      </c>
    </row>
    <row r="897" spans="1:12" ht="15" customHeight="1" x14ac:dyDescent="0.25">
      <c r="A897" s="49">
        <v>2011</v>
      </c>
      <c r="B897" s="330" t="s">
        <v>26</v>
      </c>
      <c r="C897" s="331">
        <v>81613057306</v>
      </c>
      <c r="D897" s="331">
        <v>26197564692</v>
      </c>
      <c r="E897" s="331">
        <v>616102704</v>
      </c>
      <c r="F897" s="331">
        <v>631880</v>
      </c>
      <c r="G897" s="332">
        <f t="shared" si="26"/>
        <v>7.7423885448970398E-6</v>
      </c>
      <c r="H897" s="331">
        <v>13479</v>
      </c>
      <c r="I897" s="331">
        <v>725573</v>
      </c>
      <c r="J897" s="331">
        <f t="shared" si="27"/>
        <v>-712094</v>
      </c>
      <c r="K897" s="199">
        <v>2.4</v>
      </c>
      <c r="L897" s="199">
        <v>1.1299999999999999</v>
      </c>
    </row>
    <row r="898" spans="1:12" ht="15" customHeight="1" x14ac:dyDescent="0.25">
      <c r="A898" s="49">
        <v>2012</v>
      </c>
      <c r="B898" s="330" t="s">
        <v>26</v>
      </c>
      <c r="C898" s="331">
        <v>85521441943</v>
      </c>
      <c r="D898" s="331">
        <v>26625988256</v>
      </c>
      <c r="E898" s="331">
        <v>631412754</v>
      </c>
      <c r="F898" s="331">
        <v>488962</v>
      </c>
      <c r="G898" s="332">
        <f t="shared" ref="G898:G961" si="28">F898/C898</f>
        <v>5.7174199696713833E-6</v>
      </c>
      <c r="H898" s="331">
        <v>37423</v>
      </c>
      <c r="I898" s="331">
        <v>569175</v>
      </c>
      <c r="J898" s="331">
        <f t="shared" ref="J898:J961" si="29">H898-I898</f>
        <v>-531752</v>
      </c>
      <c r="K898" s="199">
        <v>2.37</v>
      </c>
      <c r="L898" s="199">
        <v>1.1299999999999999</v>
      </c>
    </row>
    <row r="899" spans="1:12" ht="15" customHeight="1" x14ac:dyDescent="0.25">
      <c r="A899" s="49">
        <v>2013</v>
      </c>
      <c r="B899" s="330" t="s">
        <v>26</v>
      </c>
      <c r="C899" s="331">
        <v>87107272903</v>
      </c>
      <c r="D899" s="331">
        <v>27124143587</v>
      </c>
      <c r="E899" s="331">
        <v>612843921</v>
      </c>
      <c r="F899" s="331">
        <v>442799</v>
      </c>
      <c r="G899" s="332">
        <f t="shared" si="28"/>
        <v>5.0833757646515632E-6</v>
      </c>
      <c r="H899" s="331">
        <v>66288</v>
      </c>
      <c r="I899" s="331">
        <v>321570</v>
      </c>
      <c r="J899" s="331">
        <f t="shared" si="29"/>
        <v>-255282</v>
      </c>
      <c r="K899" s="199">
        <v>2.2599999999999998</v>
      </c>
      <c r="L899" s="199">
        <v>1.1299999999999999</v>
      </c>
    </row>
    <row r="900" spans="1:12" ht="15" customHeight="1" x14ac:dyDescent="0.25">
      <c r="A900" s="49">
        <v>2014</v>
      </c>
      <c r="B900" s="330" t="s">
        <v>26</v>
      </c>
      <c r="C900" s="331">
        <v>90821637746</v>
      </c>
      <c r="D900" s="331">
        <v>27936553057</v>
      </c>
      <c r="E900" s="331">
        <v>600060973</v>
      </c>
      <c r="F900" s="331">
        <v>374133</v>
      </c>
      <c r="G900" s="332">
        <f t="shared" si="28"/>
        <v>4.1194258250036641E-6</v>
      </c>
      <c r="H900" s="331">
        <v>104870</v>
      </c>
      <c r="I900" s="331">
        <v>0</v>
      </c>
      <c r="J900" s="331">
        <f t="shared" si="29"/>
        <v>104870</v>
      </c>
      <c r="K900" s="333">
        <v>2.1479420591927463</v>
      </c>
      <c r="L900" s="199">
        <v>1.1299999999999999</v>
      </c>
    </row>
    <row r="901" spans="1:12" ht="15" customHeight="1" x14ac:dyDescent="0.25">
      <c r="A901" s="49">
        <v>2015</v>
      </c>
      <c r="B901" s="330" t="s">
        <v>26</v>
      </c>
      <c r="C901" s="334">
        <v>95423354000</v>
      </c>
      <c r="D901" s="334">
        <v>28881176000</v>
      </c>
      <c r="E901" s="334">
        <v>583512000</v>
      </c>
      <c r="F901" s="331">
        <v>316356</v>
      </c>
      <c r="G901" s="332">
        <f t="shared" si="28"/>
        <v>3.3152890433928785E-6</v>
      </c>
      <c r="H901" s="331">
        <v>377527</v>
      </c>
      <c r="I901" s="199">
        <v>0</v>
      </c>
      <c r="J901" s="331">
        <f t="shared" si="29"/>
        <v>377527</v>
      </c>
      <c r="K901" s="199">
        <v>2</v>
      </c>
      <c r="L901" s="199">
        <v>1.1399999999999999</v>
      </c>
    </row>
    <row r="902" spans="1:12" ht="15" customHeight="1" x14ac:dyDescent="0.25">
      <c r="A902" s="49">
        <v>1980</v>
      </c>
      <c r="B902" s="330" t="s">
        <v>27</v>
      </c>
      <c r="C902" s="331">
        <v>7105999315</v>
      </c>
      <c r="D902" s="331">
        <v>3768446780</v>
      </c>
      <c r="E902" s="331">
        <v>74112510</v>
      </c>
      <c r="F902" s="331">
        <v>85066</v>
      </c>
      <c r="G902" s="332">
        <f t="shared" si="28"/>
        <v>1.197101156770939E-5</v>
      </c>
      <c r="H902" s="331">
        <v>241653</v>
      </c>
      <c r="I902" s="331">
        <v>0</v>
      </c>
      <c r="J902" s="331">
        <f t="shared" si="29"/>
        <v>241653</v>
      </c>
      <c r="K902" s="199">
        <v>1.97</v>
      </c>
      <c r="L902" s="199">
        <v>1.55</v>
      </c>
    </row>
    <row r="903" spans="1:12" ht="15" customHeight="1" x14ac:dyDescent="0.25">
      <c r="A903" s="49">
        <v>1981</v>
      </c>
      <c r="B903" s="330" t="s">
        <v>27</v>
      </c>
      <c r="C903" s="331">
        <v>7818588591</v>
      </c>
      <c r="D903" s="331">
        <v>3881553983</v>
      </c>
      <c r="E903" s="331">
        <v>87364048</v>
      </c>
      <c r="F903" s="331">
        <v>80677</v>
      </c>
      <c r="G903" s="332">
        <f t="shared" si="28"/>
        <v>1.0318614294767669E-5</v>
      </c>
      <c r="H903" s="331">
        <v>266835</v>
      </c>
      <c r="I903" s="331">
        <v>0</v>
      </c>
      <c r="J903" s="331">
        <f t="shared" si="29"/>
        <v>266835</v>
      </c>
      <c r="K903" s="199">
        <v>2.25</v>
      </c>
      <c r="L903" s="199">
        <v>1.33</v>
      </c>
    </row>
    <row r="904" spans="1:12" ht="15" customHeight="1" x14ac:dyDescent="0.25">
      <c r="A904" s="49">
        <v>1982</v>
      </c>
      <c r="B904" s="330" t="s">
        <v>27</v>
      </c>
      <c r="C904" s="331">
        <v>8031639483</v>
      </c>
      <c r="D904" s="331">
        <v>3733437482</v>
      </c>
      <c r="E904" s="331">
        <v>109601246</v>
      </c>
      <c r="F904" s="331">
        <v>136146</v>
      </c>
      <c r="G904" s="332">
        <f t="shared" si="28"/>
        <v>1.6951209063625248E-5</v>
      </c>
      <c r="H904" s="331">
        <v>257154</v>
      </c>
      <c r="I904" s="331">
        <v>0</v>
      </c>
      <c r="J904" s="331">
        <f t="shared" si="29"/>
        <v>257154</v>
      </c>
      <c r="K904" s="199">
        <v>2.94</v>
      </c>
      <c r="L904" s="199">
        <v>1.54</v>
      </c>
    </row>
    <row r="905" spans="1:12" ht="15" customHeight="1" x14ac:dyDescent="0.25">
      <c r="A905" s="49">
        <v>1983</v>
      </c>
      <c r="B905" s="330" t="s">
        <v>27</v>
      </c>
      <c r="C905" s="331">
        <v>8403389408</v>
      </c>
      <c r="D905" s="331">
        <v>4218793473</v>
      </c>
      <c r="E905" s="331">
        <v>84248396</v>
      </c>
      <c r="F905" s="331">
        <v>131056</v>
      </c>
      <c r="G905" s="332">
        <f t="shared" si="28"/>
        <v>1.559561191764303E-5</v>
      </c>
      <c r="H905" s="331">
        <v>219621</v>
      </c>
      <c r="I905" s="331">
        <v>0</v>
      </c>
      <c r="J905" s="331">
        <f t="shared" si="29"/>
        <v>219621</v>
      </c>
      <c r="K905" s="199">
        <v>2</v>
      </c>
      <c r="L905" s="199">
        <v>1.68</v>
      </c>
    </row>
    <row r="906" spans="1:12" ht="15" customHeight="1" x14ac:dyDescent="0.25">
      <c r="A906" s="49">
        <v>1984</v>
      </c>
      <c r="B906" s="330" t="s">
        <v>27</v>
      </c>
      <c r="C906" s="331">
        <v>9048378553</v>
      </c>
      <c r="D906" s="331">
        <v>4438726168</v>
      </c>
      <c r="E906" s="331">
        <v>128095194</v>
      </c>
      <c r="F906" s="331">
        <v>93640</v>
      </c>
      <c r="G906" s="332">
        <f t="shared" si="28"/>
        <v>1.0348815475779753E-5</v>
      </c>
      <c r="H906" s="331">
        <v>275675</v>
      </c>
      <c r="I906" s="331">
        <v>0</v>
      </c>
      <c r="J906" s="331">
        <f t="shared" si="29"/>
        <v>275675</v>
      </c>
      <c r="K906" s="199">
        <v>2.89</v>
      </c>
      <c r="L906" s="199">
        <v>1.68</v>
      </c>
    </row>
    <row r="907" spans="1:12" ht="15" customHeight="1" x14ac:dyDescent="0.25">
      <c r="A907" s="49">
        <v>1985</v>
      </c>
      <c r="B907" s="330" t="s">
        <v>27</v>
      </c>
      <c r="C907" s="331">
        <v>9530393133</v>
      </c>
      <c r="D907" s="331">
        <v>4541555249</v>
      </c>
      <c r="E907" s="331">
        <v>140199659</v>
      </c>
      <c r="F907" s="331">
        <v>98442</v>
      </c>
      <c r="G907" s="332">
        <f t="shared" si="28"/>
        <v>1.0329269593206402E-5</v>
      </c>
      <c r="H907" s="331">
        <v>347438</v>
      </c>
      <c r="I907" s="331">
        <v>0</v>
      </c>
      <c r="J907" s="331">
        <f t="shared" si="29"/>
        <v>347438</v>
      </c>
      <c r="K907" s="199">
        <v>3.09</v>
      </c>
      <c r="L907" s="199">
        <v>1.68</v>
      </c>
    </row>
    <row r="908" spans="1:12" ht="15" customHeight="1" x14ac:dyDescent="0.25">
      <c r="A908" s="49">
        <v>1986</v>
      </c>
      <c r="B908" s="330" t="s">
        <v>27</v>
      </c>
      <c r="C908" s="331">
        <v>9906598103</v>
      </c>
      <c r="D908" s="331">
        <v>4606971501</v>
      </c>
      <c r="E908" s="331">
        <v>88882290</v>
      </c>
      <c r="F908" s="331">
        <v>106795</v>
      </c>
      <c r="G908" s="332">
        <f t="shared" si="28"/>
        <v>1.0780189010358605E-5</v>
      </c>
      <c r="H908" s="331">
        <v>372903</v>
      </c>
      <c r="I908" s="331">
        <v>0</v>
      </c>
      <c r="J908" s="331">
        <f t="shared" si="29"/>
        <v>372903</v>
      </c>
      <c r="K908" s="199">
        <v>1.93</v>
      </c>
      <c r="L908" s="199">
        <v>1.68</v>
      </c>
    </row>
    <row r="909" spans="1:12" ht="15" customHeight="1" x14ac:dyDescent="0.25">
      <c r="A909" s="49">
        <v>1987</v>
      </c>
      <c r="B909" s="330" t="s">
        <v>27</v>
      </c>
      <c r="C909" s="331">
        <v>10467113234</v>
      </c>
      <c r="D909" s="331">
        <v>4729869633</v>
      </c>
      <c r="E909" s="331">
        <v>60063250</v>
      </c>
      <c r="F909" s="331">
        <v>95139</v>
      </c>
      <c r="G909" s="332">
        <f t="shared" si="28"/>
        <v>9.0893255736417298E-6</v>
      </c>
      <c r="H909" s="331">
        <v>369932</v>
      </c>
      <c r="I909" s="331">
        <v>0</v>
      </c>
      <c r="J909" s="331">
        <f t="shared" si="29"/>
        <v>369932</v>
      </c>
      <c r="K909" s="199">
        <v>1.27</v>
      </c>
      <c r="L909" s="199">
        <v>1.68</v>
      </c>
    </row>
    <row r="910" spans="1:12" ht="15" customHeight="1" x14ac:dyDescent="0.25">
      <c r="A910" s="49">
        <v>1988</v>
      </c>
      <c r="B910" s="330" t="s">
        <v>27</v>
      </c>
      <c r="C910" s="331">
        <v>11208331107</v>
      </c>
      <c r="D910" s="331">
        <v>4943235527</v>
      </c>
      <c r="E910" s="331">
        <v>56564146</v>
      </c>
      <c r="F910" s="331">
        <v>82310</v>
      </c>
      <c r="G910" s="332">
        <f t="shared" si="28"/>
        <v>7.3436445813591717E-6</v>
      </c>
      <c r="H910" s="331">
        <v>377660</v>
      </c>
      <c r="I910" s="331">
        <v>0</v>
      </c>
      <c r="J910" s="331">
        <f t="shared" si="29"/>
        <v>377660</v>
      </c>
      <c r="K910" s="199">
        <v>1.1399999999999999</v>
      </c>
      <c r="L910" s="199">
        <v>1.68</v>
      </c>
    </row>
    <row r="911" spans="1:12" x14ac:dyDescent="0.25">
      <c r="A911" s="49">
        <v>1989</v>
      </c>
      <c r="B911" s="330" t="s">
        <v>27</v>
      </c>
      <c r="C911" s="331">
        <v>11783546256</v>
      </c>
      <c r="D911" s="331">
        <v>5125758895</v>
      </c>
      <c r="E911" s="331">
        <v>65052254</v>
      </c>
      <c r="F911" s="331">
        <v>88585</v>
      </c>
      <c r="G911" s="332">
        <f t="shared" si="28"/>
        <v>7.517685938975619E-6</v>
      </c>
      <c r="H911" s="331">
        <v>388272</v>
      </c>
      <c r="I911" s="331">
        <v>0</v>
      </c>
      <c r="J911" s="331">
        <f t="shared" si="29"/>
        <v>388272</v>
      </c>
      <c r="K911" s="199">
        <v>1.27</v>
      </c>
      <c r="L911" s="199">
        <v>1.68</v>
      </c>
    </row>
    <row r="912" spans="1:12" ht="15" customHeight="1" x14ac:dyDescent="0.25">
      <c r="A912" s="49">
        <v>1990</v>
      </c>
      <c r="B912" s="330" t="s">
        <v>27</v>
      </c>
      <c r="C912" s="331">
        <v>12489571261</v>
      </c>
      <c r="D912" s="331">
        <v>5292261277</v>
      </c>
      <c r="E912" s="331">
        <v>64974105</v>
      </c>
      <c r="F912" s="331">
        <v>98308</v>
      </c>
      <c r="G912" s="332">
        <f t="shared" si="28"/>
        <v>7.8712069410242342E-6</v>
      </c>
      <c r="H912" s="331">
        <v>386746</v>
      </c>
      <c r="I912" s="331">
        <v>0</v>
      </c>
      <c r="J912" s="331">
        <f t="shared" si="29"/>
        <v>386746</v>
      </c>
      <c r="K912" s="199">
        <v>1.23</v>
      </c>
      <c r="L912" s="199">
        <v>1.68</v>
      </c>
    </row>
    <row r="913" spans="1:12" ht="15" customHeight="1" x14ac:dyDescent="0.25">
      <c r="A913" s="49">
        <v>1991</v>
      </c>
      <c r="B913" s="330" t="s">
        <v>27</v>
      </c>
      <c r="C913" s="331">
        <v>12977640605</v>
      </c>
      <c r="D913" s="331">
        <v>5333706941</v>
      </c>
      <c r="E913" s="331">
        <v>50691936</v>
      </c>
      <c r="F913" s="331">
        <v>122280</v>
      </c>
      <c r="G913" s="332">
        <f t="shared" si="28"/>
        <v>9.4223598666223046E-6</v>
      </c>
      <c r="H913" s="331">
        <v>348593</v>
      </c>
      <c r="I913" s="331">
        <v>0</v>
      </c>
      <c r="J913" s="331">
        <f t="shared" si="29"/>
        <v>348593</v>
      </c>
      <c r="K913" s="199">
        <v>0.95</v>
      </c>
      <c r="L913" s="199">
        <v>1.68</v>
      </c>
    </row>
    <row r="914" spans="1:12" ht="15" customHeight="1" x14ac:dyDescent="0.25">
      <c r="A914" s="49">
        <v>1992</v>
      </c>
      <c r="B914" s="330" t="s">
        <v>27</v>
      </c>
      <c r="C914" s="331">
        <v>13942734405</v>
      </c>
      <c r="D914" s="331">
        <v>5500596083</v>
      </c>
      <c r="E914" s="331">
        <v>99474379</v>
      </c>
      <c r="F914" s="331">
        <v>121110</v>
      </c>
      <c r="G914" s="332">
        <f t="shared" si="28"/>
        <v>8.686244497103005E-6</v>
      </c>
      <c r="H914" s="331">
        <v>345352</v>
      </c>
      <c r="I914" s="331">
        <v>0</v>
      </c>
      <c r="J914" s="331">
        <f t="shared" si="29"/>
        <v>345352</v>
      </c>
      <c r="K914" s="199">
        <v>1.81</v>
      </c>
      <c r="L914" s="199">
        <v>1.68</v>
      </c>
    </row>
    <row r="915" spans="1:12" ht="15" customHeight="1" x14ac:dyDescent="0.25">
      <c r="A915" s="49">
        <v>1993</v>
      </c>
      <c r="B915" s="330" t="s">
        <v>27</v>
      </c>
      <c r="C915" s="331">
        <v>14988607519</v>
      </c>
      <c r="D915" s="331">
        <v>5858641681</v>
      </c>
      <c r="E915" s="331">
        <v>132987876</v>
      </c>
      <c r="F915" s="331">
        <v>92123</v>
      </c>
      <c r="G915" s="332">
        <f t="shared" si="28"/>
        <v>6.1462013654852308E-6</v>
      </c>
      <c r="H915" s="331">
        <v>410259</v>
      </c>
      <c r="I915" s="331">
        <v>0</v>
      </c>
      <c r="J915" s="331">
        <f t="shared" si="29"/>
        <v>410259</v>
      </c>
      <c r="K915" s="199">
        <v>2.27</v>
      </c>
      <c r="L915" s="199">
        <v>1.68</v>
      </c>
    </row>
    <row r="916" spans="1:12" ht="15" customHeight="1" x14ac:dyDescent="0.25">
      <c r="A916" s="49">
        <v>1994</v>
      </c>
      <c r="B916" s="330" t="s">
        <v>27</v>
      </c>
      <c r="C916" s="331">
        <v>16451638867</v>
      </c>
      <c r="D916" s="331">
        <v>6372964805</v>
      </c>
      <c r="E916" s="331">
        <v>140141948</v>
      </c>
      <c r="F916" s="331">
        <v>90442</v>
      </c>
      <c r="G916" s="332">
        <f t="shared" si="28"/>
        <v>5.4974462259450469E-6</v>
      </c>
      <c r="H916" s="331">
        <v>490392</v>
      </c>
      <c r="I916" s="331">
        <v>0</v>
      </c>
      <c r="J916" s="331">
        <f t="shared" si="29"/>
        <v>490392</v>
      </c>
      <c r="K916" s="199">
        <v>2.2000000000000002</v>
      </c>
      <c r="L916" s="199">
        <v>1.68</v>
      </c>
    </row>
    <row r="917" spans="1:12" ht="15" customHeight="1" x14ac:dyDescent="0.25">
      <c r="A917" s="49">
        <v>1995</v>
      </c>
      <c r="B917" s="330" t="s">
        <v>27</v>
      </c>
      <c r="C917" s="331">
        <v>17305580445</v>
      </c>
      <c r="D917" s="331">
        <v>6494483632</v>
      </c>
      <c r="E917" s="331">
        <v>133452114</v>
      </c>
      <c r="F917" s="331">
        <v>111931</v>
      </c>
      <c r="G917" s="332">
        <f t="shared" si="28"/>
        <v>6.4679136510754579E-6</v>
      </c>
      <c r="H917" s="331">
        <v>551318</v>
      </c>
      <c r="I917" s="331">
        <v>0</v>
      </c>
      <c r="J917" s="331">
        <f t="shared" si="29"/>
        <v>551318</v>
      </c>
      <c r="K917" s="199">
        <v>2.0499999999999998</v>
      </c>
      <c r="L917" s="199">
        <v>1.57</v>
      </c>
    </row>
    <row r="918" spans="1:12" ht="15" customHeight="1" x14ac:dyDescent="0.25">
      <c r="A918" s="49">
        <v>1996</v>
      </c>
      <c r="B918" s="330" t="s">
        <v>27</v>
      </c>
      <c r="C918" s="331">
        <v>18159938598</v>
      </c>
      <c r="D918" s="331">
        <v>6632707303</v>
      </c>
      <c r="E918" s="331">
        <v>87775794</v>
      </c>
      <c r="F918" s="331">
        <v>128287</v>
      </c>
      <c r="G918" s="332">
        <f t="shared" si="28"/>
        <v>7.0642860000709791E-6</v>
      </c>
      <c r="H918" s="331">
        <v>553222</v>
      </c>
      <c r="I918" s="331">
        <v>0</v>
      </c>
      <c r="J918" s="331">
        <f t="shared" si="29"/>
        <v>553222</v>
      </c>
      <c r="K918" s="199">
        <v>1.32</v>
      </c>
      <c r="L918" s="199">
        <v>1.57</v>
      </c>
    </row>
    <row r="919" spans="1:12" ht="15" customHeight="1" x14ac:dyDescent="0.25">
      <c r="A919" s="49">
        <v>1997</v>
      </c>
      <c r="B919" s="330" t="s">
        <v>27</v>
      </c>
      <c r="C919" s="331">
        <v>19378118479</v>
      </c>
      <c r="D919" s="331">
        <v>6873625112</v>
      </c>
      <c r="E919" s="331">
        <v>83072672</v>
      </c>
      <c r="F919" s="331">
        <v>109544</v>
      </c>
      <c r="G919" s="332">
        <f t="shared" si="28"/>
        <v>5.652974003575861E-6</v>
      </c>
      <c r="H919" s="331">
        <v>563901</v>
      </c>
      <c r="I919" s="331">
        <v>0</v>
      </c>
      <c r="J919" s="331">
        <f t="shared" si="29"/>
        <v>563901</v>
      </c>
      <c r="K919" s="199">
        <v>1.21</v>
      </c>
      <c r="L919" s="199">
        <v>1.57</v>
      </c>
    </row>
    <row r="920" spans="1:12" ht="15" customHeight="1" x14ac:dyDescent="0.25">
      <c r="A920" s="49">
        <v>1998</v>
      </c>
      <c r="B920" s="330" t="s">
        <v>27</v>
      </c>
      <c r="C920" s="331">
        <v>20894018814</v>
      </c>
      <c r="D920" s="331">
        <v>7218194582</v>
      </c>
      <c r="E920" s="331">
        <v>104790240</v>
      </c>
      <c r="F920" s="331">
        <v>100327</v>
      </c>
      <c r="G920" s="332">
        <f t="shared" si="28"/>
        <v>4.8017090868500639E-6</v>
      </c>
      <c r="H920" s="331">
        <v>601670</v>
      </c>
      <c r="I920" s="331">
        <v>0</v>
      </c>
      <c r="J920" s="331">
        <f t="shared" si="29"/>
        <v>601670</v>
      </c>
      <c r="K920" s="199">
        <v>1.45</v>
      </c>
      <c r="L920" s="199">
        <v>1.57</v>
      </c>
    </row>
    <row r="921" spans="1:12" ht="15" customHeight="1" x14ac:dyDescent="0.25">
      <c r="A921" s="49">
        <v>1999</v>
      </c>
      <c r="B921" s="330" t="s">
        <v>27</v>
      </c>
      <c r="C921" s="331">
        <v>21832359107</v>
      </c>
      <c r="D921" s="331">
        <v>7387436962</v>
      </c>
      <c r="E921" s="331">
        <v>123872061</v>
      </c>
      <c r="F921" s="331">
        <v>106085</v>
      </c>
      <c r="G921" s="332">
        <f t="shared" si="28"/>
        <v>4.8590717787335446E-6</v>
      </c>
      <c r="H921" s="331">
        <v>653206</v>
      </c>
      <c r="I921" s="331">
        <v>0</v>
      </c>
      <c r="J921" s="331">
        <f t="shared" si="29"/>
        <v>653206</v>
      </c>
      <c r="K921" s="199">
        <v>1.68</v>
      </c>
      <c r="L921" s="199">
        <v>1.57</v>
      </c>
    </row>
    <row r="922" spans="1:12" ht="15" customHeight="1" x14ac:dyDescent="0.25">
      <c r="A922" s="49">
        <v>2000</v>
      </c>
      <c r="B922" s="330" t="s">
        <v>27</v>
      </c>
      <c r="C922" s="331">
        <v>22380274832</v>
      </c>
      <c r="D922" s="331">
        <v>7330508360</v>
      </c>
      <c r="E922" s="331">
        <v>112679493</v>
      </c>
      <c r="F922" s="331">
        <v>117844</v>
      </c>
      <c r="G922" s="332">
        <f t="shared" si="28"/>
        <v>5.2655296185864105E-6</v>
      </c>
      <c r="H922" s="331">
        <v>695793</v>
      </c>
      <c r="I922" s="331">
        <v>0</v>
      </c>
      <c r="J922" s="331">
        <f t="shared" si="29"/>
        <v>695793</v>
      </c>
      <c r="K922" s="199">
        <v>1.54</v>
      </c>
      <c r="L922" s="199">
        <v>1.57</v>
      </c>
    </row>
    <row r="923" spans="1:12" ht="15" customHeight="1" x14ac:dyDescent="0.25">
      <c r="A923" s="49">
        <v>2001</v>
      </c>
      <c r="B923" s="330" t="s">
        <v>27</v>
      </c>
      <c r="C923" s="331">
        <v>22390710913</v>
      </c>
      <c r="D923" s="331">
        <v>7111270565</v>
      </c>
      <c r="E923" s="331">
        <v>94094473</v>
      </c>
      <c r="F923" s="331">
        <v>177063</v>
      </c>
      <c r="G923" s="332">
        <f t="shared" si="28"/>
        <v>7.9078775429679446E-6</v>
      </c>
      <c r="H923" s="331">
        <v>658687</v>
      </c>
      <c r="I923" s="331">
        <v>0</v>
      </c>
      <c r="J923" s="331">
        <f t="shared" si="29"/>
        <v>658687</v>
      </c>
      <c r="K923" s="199">
        <v>1.32</v>
      </c>
      <c r="L923" s="199">
        <v>1.53</v>
      </c>
    </row>
    <row r="924" spans="1:12" ht="15" customHeight="1" x14ac:dyDescent="0.25">
      <c r="A924" s="49">
        <v>2002</v>
      </c>
      <c r="B924" s="330" t="s">
        <v>27</v>
      </c>
      <c r="C924" s="331">
        <v>22742611140</v>
      </c>
      <c r="D924" s="331">
        <v>7015597534</v>
      </c>
      <c r="E924" s="331">
        <v>110933504</v>
      </c>
      <c r="F924" s="331">
        <v>187315</v>
      </c>
      <c r="G924" s="332">
        <f t="shared" si="28"/>
        <v>8.236301401229516E-6</v>
      </c>
      <c r="H924" s="331">
        <v>684215</v>
      </c>
      <c r="I924" s="331">
        <v>0</v>
      </c>
      <c r="J924" s="331">
        <f t="shared" si="29"/>
        <v>684215</v>
      </c>
      <c r="K924" s="199">
        <v>1.58</v>
      </c>
      <c r="L924" s="199">
        <v>1.53</v>
      </c>
    </row>
    <row r="925" spans="1:12" ht="15" customHeight="1" x14ac:dyDescent="0.25">
      <c r="A925" s="49">
        <v>2003</v>
      </c>
      <c r="B925" s="330" t="s">
        <v>27</v>
      </c>
      <c r="C925" s="331">
        <v>23169089681</v>
      </c>
      <c r="D925" s="331">
        <v>6952995517</v>
      </c>
      <c r="E925" s="331">
        <v>117455825</v>
      </c>
      <c r="F925" s="331">
        <v>185013</v>
      </c>
      <c r="G925" s="332">
        <f t="shared" si="28"/>
        <v>7.9853374710583213E-6</v>
      </c>
      <c r="H925" s="331">
        <v>647702</v>
      </c>
      <c r="I925" s="331">
        <v>0</v>
      </c>
      <c r="J925" s="331">
        <f t="shared" si="29"/>
        <v>647702</v>
      </c>
      <c r="K925" s="199">
        <v>1.69</v>
      </c>
      <c r="L925" s="199">
        <v>1.53</v>
      </c>
    </row>
    <row r="926" spans="1:12" ht="15" customHeight="1" x14ac:dyDescent="0.25">
      <c r="A926" s="49">
        <v>2004</v>
      </c>
      <c r="B926" s="330" t="s">
        <v>27</v>
      </c>
      <c r="C926" s="331">
        <v>24107761733</v>
      </c>
      <c r="D926" s="331">
        <v>7044307055</v>
      </c>
      <c r="E926" s="331">
        <v>158783781</v>
      </c>
      <c r="F926" s="331">
        <v>151114</v>
      </c>
      <c r="G926" s="332">
        <f t="shared" si="28"/>
        <v>6.2682716742279325E-6</v>
      </c>
      <c r="H926" s="331">
        <v>684470</v>
      </c>
      <c r="I926" s="331">
        <v>0</v>
      </c>
      <c r="J926" s="331">
        <f t="shared" si="29"/>
        <v>684470</v>
      </c>
      <c r="K926" s="199">
        <v>2.25</v>
      </c>
      <c r="L926" s="199">
        <v>1.53</v>
      </c>
    </row>
    <row r="927" spans="1:12" ht="15" customHeight="1" x14ac:dyDescent="0.25">
      <c r="A927" s="49">
        <v>2005</v>
      </c>
      <c r="B927" s="330" t="s">
        <v>27</v>
      </c>
      <c r="C927" s="331">
        <v>25282680610</v>
      </c>
      <c r="D927" s="331">
        <v>7260812941</v>
      </c>
      <c r="E927" s="331">
        <v>128577349</v>
      </c>
      <c r="F927" s="331">
        <v>207528</v>
      </c>
      <c r="G927" s="332">
        <f t="shared" si="28"/>
        <v>8.2083068326986227E-6</v>
      </c>
      <c r="H927" s="331">
        <v>724041</v>
      </c>
      <c r="I927" s="331">
        <v>0</v>
      </c>
      <c r="J927" s="331">
        <f t="shared" si="29"/>
        <v>724041</v>
      </c>
      <c r="K927" s="199">
        <v>1.77</v>
      </c>
      <c r="L927" s="199">
        <v>1.53</v>
      </c>
    </row>
    <row r="928" spans="1:12" ht="15" customHeight="1" x14ac:dyDescent="0.25">
      <c r="A928" s="49">
        <v>2006</v>
      </c>
      <c r="B928" s="330" t="s">
        <v>27</v>
      </c>
      <c r="C928" s="331">
        <v>26875239568</v>
      </c>
      <c r="D928" s="331">
        <v>7480591008</v>
      </c>
      <c r="E928" s="331">
        <v>129260944</v>
      </c>
      <c r="F928" s="331">
        <v>151834</v>
      </c>
      <c r="G928" s="332">
        <f t="shared" si="28"/>
        <v>5.6495868479917395E-6</v>
      </c>
      <c r="H928" s="331">
        <v>732492</v>
      </c>
      <c r="I928" s="331">
        <v>0</v>
      </c>
      <c r="J928" s="331">
        <f t="shared" si="29"/>
        <v>732492</v>
      </c>
      <c r="K928" s="199">
        <v>1.73</v>
      </c>
      <c r="L928" s="199">
        <v>1.53</v>
      </c>
    </row>
    <row r="929" spans="1:12" ht="15" customHeight="1" x14ac:dyDescent="0.25">
      <c r="A929" s="49">
        <v>2007</v>
      </c>
      <c r="B929" s="330" t="s">
        <v>27</v>
      </c>
      <c r="C929" s="331">
        <v>27984320940</v>
      </c>
      <c r="D929" s="331">
        <v>7496705653</v>
      </c>
      <c r="E929" s="331">
        <v>101842941</v>
      </c>
      <c r="F929" s="331">
        <v>135992</v>
      </c>
      <c r="G929" s="332">
        <f t="shared" si="28"/>
        <v>4.8595783435865643E-6</v>
      </c>
      <c r="H929" s="331">
        <v>727918</v>
      </c>
      <c r="I929" s="331">
        <v>0</v>
      </c>
      <c r="J929" s="331">
        <f t="shared" si="29"/>
        <v>727918</v>
      </c>
      <c r="K929" s="199">
        <v>1.36</v>
      </c>
      <c r="L929" s="199">
        <v>1.53</v>
      </c>
    </row>
    <row r="930" spans="1:12" ht="15" customHeight="1" x14ac:dyDescent="0.25">
      <c r="A930" s="49">
        <v>2008</v>
      </c>
      <c r="B930" s="330" t="s">
        <v>27</v>
      </c>
      <c r="C930" s="331">
        <v>28730902501</v>
      </c>
      <c r="D930" s="331">
        <v>7431119880</v>
      </c>
      <c r="E930" s="331">
        <v>96898817</v>
      </c>
      <c r="F930" s="331">
        <v>177477</v>
      </c>
      <c r="G930" s="332">
        <f t="shared" si="28"/>
        <v>6.1772163263518364E-6</v>
      </c>
      <c r="H930" s="331">
        <v>679152</v>
      </c>
      <c r="I930" s="331">
        <v>0</v>
      </c>
      <c r="J930" s="331">
        <f t="shared" si="29"/>
        <v>679152</v>
      </c>
      <c r="K930" s="199">
        <v>1.3</v>
      </c>
      <c r="L930" s="199">
        <v>1.53</v>
      </c>
    </row>
    <row r="931" spans="1:12" ht="15" customHeight="1" x14ac:dyDescent="0.25">
      <c r="A931" s="49">
        <v>2009</v>
      </c>
      <c r="B931" s="330" t="s">
        <v>27</v>
      </c>
      <c r="C931" s="331">
        <v>27083818937</v>
      </c>
      <c r="D931" s="331">
        <v>6799741961</v>
      </c>
      <c r="E931" s="331">
        <v>84947459</v>
      </c>
      <c r="F931" s="331">
        <v>338255</v>
      </c>
      <c r="G931" s="332">
        <f t="shared" si="28"/>
        <v>1.248919145364319E-5</v>
      </c>
      <c r="H931" s="331">
        <v>469903</v>
      </c>
      <c r="I931" s="331">
        <v>0</v>
      </c>
      <c r="J931" s="331">
        <f t="shared" si="29"/>
        <v>469903</v>
      </c>
      <c r="K931" s="199">
        <v>1.2</v>
      </c>
      <c r="L931" s="199">
        <v>1.02</v>
      </c>
    </row>
    <row r="932" spans="1:12" ht="15" customHeight="1" x14ac:dyDescent="0.25">
      <c r="A932" s="49">
        <v>2010</v>
      </c>
      <c r="B932" s="330" t="s">
        <v>27</v>
      </c>
      <c r="C932" s="331">
        <v>27313271838</v>
      </c>
      <c r="D932" s="331">
        <v>6879920655</v>
      </c>
      <c r="E932" s="331">
        <v>113525356</v>
      </c>
      <c r="F932" s="331">
        <v>264000</v>
      </c>
      <c r="G932" s="332">
        <f t="shared" si="28"/>
        <v>9.665630744124402E-6</v>
      </c>
      <c r="H932" s="331">
        <v>339704</v>
      </c>
      <c r="I932" s="331">
        <v>0</v>
      </c>
      <c r="J932" s="331">
        <f t="shared" si="29"/>
        <v>339704</v>
      </c>
      <c r="K932" s="199">
        <v>1.7</v>
      </c>
      <c r="L932" s="199">
        <v>1.06</v>
      </c>
    </row>
    <row r="933" spans="1:12" ht="15" customHeight="1" x14ac:dyDescent="0.25">
      <c r="A933" s="49">
        <v>2011</v>
      </c>
      <c r="B933" s="330" t="s">
        <v>27</v>
      </c>
      <c r="C933" s="331">
        <v>27962865109</v>
      </c>
      <c r="D933" s="331">
        <v>11500030350</v>
      </c>
      <c r="E933" s="331">
        <v>249026095</v>
      </c>
      <c r="F933" s="331">
        <v>203983</v>
      </c>
      <c r="G933" s="332">
        <f t="shared" si="28"/>
        <v>7.2947818188468448E-6</v>
      </c>
      <c r="H933" s="331">
        <v>365142</v>
      </c>
      <c r="I933" s="331">
        <v>0</v>
      </c>
      <c r="J933" s="331">
        <f t="shared" si="29"/>
        <v>365142</v>
      </c>
      <c r="K933" s="199">
        <v>2.2000000000000002</v>
      </c>
      <c r="L933" s="199">
        <v>1.06</v>
      </c>
    </row>
    <row r="934" spans="1:12" ht="15" customHeight="1" x14ac:dyDescent="0.25">
      <c r="A934" s="49">
        <v>2012</v>
      </c>
      <c r="B934" s="330" t="s">
        <v>27</v>
      </c>
      <c r="C934" s="331">
        <v>29079503622</v>
      </c>
      <c r="D934" s="331">
        <v>11924693664</v>
      </c>
      <c r="E934" s="331">
        <v>273057202</v>
      </c>
      <c r="F934" s="331">
        <v>174841</v>
      </c>
      <c r="G934" s="332">
        <f t="shared" si="28"/>
        <v>6.0125166602818014E-6</v>
      </c>
      <c r="H934" s="331">
        <v>462913</v>
      </c>
      <c r="I934" s="331">
        <v>0</v>
      </c>
      <c r="J934" s="331">
        <f t="shared" si="29"/>
        <v>462913</v>
      </c>
      <c r="K934" s="199">
        <v>2.29</v>
      </c>
      <c r="L934" s="199">
        <v>1.06</v>
      </c>
    </row>
    <row r="935" spans="1:12" ht="15" customHeight="1" x14ac:dyDescent="0.25">
      <c r="A935" s="49">
        <v>2013</v>
      </c>
      <c r="B935" s="330" t="s">
        <v>27</v>
      </c>
      <c r="C935" s="331">
        <v>29890054212</v>
      </c>
      <c r="D935" s="331">
        <v>12091603232</v>
      </c>
      <c r="E935" s="331">
        <v>187941623</v>
      </c>
      <c r="F935" s="331">
        <v>160804</v>
      </c>
      <c r="G935" s="332">
        <f t="shared" si="28"/>
        <v>5.3798497272528133E-6</v>
      </c>
      <c r="H935" s="331">
        <v>510776</v>
      </c>
      <c r="I935" s="331">
        <v>0</v>
      </c>
      <c r="J935" s="331">
        <f t="shared" si="29"/>
        <v>510776</v>
      </c>
      <c r="K935" s="199">
        <v>1.55</v>
      </c>
      <c r="L935" s="199">
        <v>1.06</v>
      </c>
    </row>
    <row r="936" spans="1:12" ht="15" customHeight="1" x14ac:dyDescent="0.25">
      <c r="A936" s="49">
        <v>2014</v>
      </c>
      <c r="B936" s="330" t="s">
        <v>27</v>
      </c>
      <c r="C936" s="331">
        <v>30772741322</v>
      </c>
      <c r="D936" s="331">
        <v>12332884767</v>
      </c>
      <c r="E936" s="331">
        <v>148267056</v>
      </c>
      <c r="F936" s="331">
        <v>131082</v>
      </c>
      <c r="G936" s="332">
        <f t="shared" si="28"/>
        <v>4.2596790005928741E-6</v>
      </c>
      <c r="H936" s="331">
        <v>491875</v>
      </c>
      <c r="I936" s="331">
        <v>0</v>
      </c>
      <c r="J936" s="331">
        <f t="shared" si="29"/>
        <v>491875</v>
      </c>
      <c r="K936" s="333">
        <v>1.2022090435542623</v>
      </c>
      <c r="L936" s="199">
        <v>1.06</v>
      </c>
    </row>
    <row r="937" spans="1:12" ht="15" customHeight="1" x14ac:dyDescent="0.25">
      <c r="A937" s="49">
        <v>2015</v>
      </c>
      <c r="B937" s="330" t="s">
        <v>27</v>
      </c>
      <c r="C937" s="334">
        <v>31524352000</v>
      </c>
      <c r="D937" s="334">
        <v>12522891000</v>
      </c>
      <c r="E937" s="334">
        <v>153894000</v>
      </c>
      <c r="F937" s="331">
        <v>94002</v>
      </c>
      <c r="G937" s="332">
        <f t="shared" si="28"/>
        <v>2.9818852422406652E-6</v>
      </c>
      <c r="H937" s="331">
        <v>599570</v>
      </c>
      <c r="I937" s="199">
        <v>0</v>
      </c>
      <c r="J937" s="331">
        <f t="shared" si="29"/>
        <v>599570</v>
      </c>
      <c r="K937" s="199">
        <v>1.1000000000000001</v>
      </c>
      <c r="L937" s="199">
        <v>1.06</v>
      </c>
    </row>
    <row r="938" spans="1:12" ht="15" customHeight="1" x14ac:dyDescent="0.25">
      <c r="A938" s="49">
        <v>1980</v>
      </c>
      <c r="B938" s="330" t="s">
        <v>28</v>
      </c>
      <c r="C938" s="331">
        <v>3086323414</v>
      </c>
      <c r="D938" s="331">
        <v>1951490516</v>
      </c>
      <c r="E938" s="331">
        <v>44982964</v>
      </c>
      <c r="F938" s="331">
        <v>41214</v>
      </c>
      <c r="G938" s="332">
        <f t="shared" si="28"/>
        <v>1.3353752822224483E-5</v>
      </c>
      <c r="H938" s="331">
        <v>19881</v>
      </c>
      <c r="I938" s="331">
        <v>0</v>
      </c>
      <c r="J938" s="331">
        <f t="shared" si="29"/>
        <v>19881</v>
      </c>
      <c r="K938" s="199">
        <v>2.31</v>
      </c>
      <c r="L938" s="199">
        <v>2.0099999999999998</v>
      </c>
    </row>
    <row r="939" spans="1:12" ht="15" customHeight="1" x14ac:dyDescent="0.25">
      <c r="A939" s="49">
        <v>1981</v>
      </c>
      <c r="B939" s="330" t="s">
        <v>28</v>
      </c>
      <c r="C939" s="331">
        <v>3326061331</v>
      </c>
      <c r="D939" s="331">
        <v>2083742145</v>
      </c>
      <c r="E939" s="331">
        <v>48121960</v>
      </c>
      <c r="F939" s="331">
        <v>41482</v>
      </c>
      <c r="G939" s="332">
        <f t="shared" si="28"/>
        <v>1.2471808506167321E-5</v>
      </c>
      <c r="H939" s="331">
        <v>28073</v>
      </c>
      <c r="I939" s="331">
        <v>0</v>
      </c>
      <c r="J939" s="331">
        <f t="shared" si="29"/>
        <v>28073</v>
      </c>
      <c r="K939" s="199">
        <v>2.31</v>
      </c>
      <c r="L939" s="199">
        <v>1.79</v>
      </c>
    </row>
    <row r="940" spans="1:12" ht="15" customHeight="1" x14ac:dyDescent="0.25">
      <c r="A940" s="49">
        <v>1982</v>
      </c>
      <c r="B940" s="330" t="s">
        <v>28</v>
      </c>
      <c r="C940" s="331">
        <v>3416460706</v>
      </c>
      <c r="D940" s="331">
        <v>2113422963</v>
      </c>
      <c r="E940" s="331">
        <v>44139102</v>
      </c>
      <c r="F940" s="331">
        <v>61597</v>
      </c>
      <c r="G940" s="332">
        <f t="shared" si="28"/>
        <v>1.8029477081888616E-5</v>
      </c>
      <c r="H940" s="331">
        <v>9216</v>
      </c>
      <c r="I940" s="331">
        <v>0</v>
      </c>
      <c r="J940" s="331">
        <f t="shared" si="29"/>
        <v>9216</v>
      </c>
      <c r="K940" s="199">
        <v>2.09</v>
      </c>
      <c r="L940" s="199">
        <v>1.88</v>
      </c>
    </row>
    <row r="941" spans="1:12" ht="15" customHeight="1" x14ac:dyDescent="0.25">
      <c r="A941" s="49">
        <v>1983</v>
      </c>
      <c r="B941" s="330" t="s">
        <v>28</v>
      </c>
      <c r="C941" s="331">
        <v>3567192428</v>
      </c>
      <c r="D941" s="331">
        <v>2211785406</v>
      </c>
      <c r="E941" s="331">
        <v>50615814</v>
      </c>
      <c r="F941" s="331">
        <v>58810</v>
      </c>
      <c r="G941" s="332">
        <f t="shared" si="28"/>
        <v>1.6486354797790571E-5</v>
      </c>
      <c r="H941" s="331">
        <v>6778</v>
      </c>
      <c r="I941" s="331">
        <v>8556</v>
      </c>
      <c r="J941" s="331">
        <f t="shared" si="29"/>
        <v>-1778</v>
      </c>
      <c r="K941" s="199">
        <v>2.29</v>
      </c>
      <c r="L941" s="199">
        <v>1.88</v>
      </c>
    </row>
    <row r="942" spans="1:12" ht="15" customHeight="1" x14ac:dyDescent="0.25">
      <c r="A942" s="49">
        <v>1984</v>
      </c>
      <c r="B942" s="330" t="s">
        <v>28</v>
      </c>
      <c r="C942" s="331">
        <v>3724295321</v>
      </c>
      <c r="D942" s="331">
        <v>2314836433</v>
      </c>
      <c r="E942" s="331">
        <v>50944576</v>
      </c>
      <c r="F942" s="331">
        <v>52772</v>
      </c>
      <c r="G942" s="332">
        <f t="shared" si="28"/>
        <v>1.4169660419365009E-5</v>
      </c>
      <c r="H942" s="331">
        <v>6431</v>
      </c>
      <c r="I942" s="331">
        <v>8556</v>
      </c>
      <c r="J942" s="331">
        <f t="shared" si="29"/>
        <v>-2125</v>
      </c>
      <c r="K942" s="199">
        <v>2.2000000000000002</v>
      </c>
      <c r="L942" s="199">
        <v>1.88</v>
      </c>
    </row>
    <row r="943" spans="1:12" ht="15" customHeight="1" x14ac:dyDescent="0.25">
      <c r="A943" s="49">
        <v>1985</v>
      </c>
      <c r="B943" s="330" t="s">
        <v>28</v>
      </c>
      <c r="C943" s="331">
        <v>3757867708</v>
      </c>
      <c r="D943" s="331">
        <v>2656108075</v>
      </c>
      <c r="E943" s="331">
        <v>61947147</v>
      </c>
      <c r="F943" s="331">
        <v>52218</v>
      </c>
      <c r="G943" s="332">
        <f t="shared" si="28"/>
        <v>1.3895646163603586E-5</v>
      </c>
      <c r="H943" s="331">
        <v>12867</v>
      </c>
      <c r="I943" s="331">
        <v>0</v>
      </c>
      <c r="J943" s="331">
        <f t="shared" si="29"/>
        <v>12867</v>
      </c>
      <c r="K943" s="199">
        <v>2.33</v>
      </c>
      <c r="L943" s="199">
        <v>1.88</v>
      </c>
    </row>
    <row r="944" spans="1:12" ht="15" customHeight="1" x14ac:dyDescent="0.25">
      <c r="A944" s="49">
        <v>1986</v>
      </c>
      <c r="B944" s="330" t="s">
        <v>28</v>
      </c>
      <c r="C944" s="331">
        <v>3730173151</v>
      </c>
      <c r="D944" s="331">
        <v>2661830376</v>
      </c>
      <c r="E944" s="331">
        <v>61215737</v>
      </c>
      <c r="F944" s="331">
        <v>52286</v>
      </c>
      <c r="G944" s="332">
        <f t="shared" si="28"/>
        <v>1.401704368227061E-5</v>
      </c>
      <c r="H944" s="331">
        <v>29627</v>
      </c>
      <c r="I944" s="331">
        <v>0</v>
      </c>
      <c r="J944" s="331">
        <f t="shared" si="29"/>
        <v>29627</v>
      </c>
      <c r="K944" s="199">
        <v>2.2999999999999998</v>
      </c>
      <c r="L944" s="199">
        <v>1.88</v>
      </c>
    </row>
    <row r="945" spans="1:12" ht="15" customHeight="1" x14ac:dyDescent="0.25">
      <c r="A945" s="49">
        <v>1987</v>
      </c>
      <c r="B945" s="330" t="s">
        <v>28</v>
      </c>
      <c r="C945" s="331">
        <v>3797469411</v>
      </c>
      <c r="D945" s="331">
        <v>2681938830</v>
      </c>
      <c r="E945" s="331">
        <v>50568770</v>
      </c>
      <c r="F945" s="331">
        <v>42996</v>
      </c>
      <c r="G945" s="332">
        <f t="shared" si="28"/>
        <v>1.1322276849802912E-5</v>
      </c>
      <c r="H945" s="331">
        <v>45264</v>
      </c>
      <c r="I945" s="331">
        <v>0</v>
      </c>
      <c r="J945" s="331">
        <f t="shared" si="29"/>
        <v>45264</v>
      </c>
      <c r="K945" s="199">
        <v>1.89</v>
      </c>
      <c r="L945" s="199">
        <v>1.88</v>
      </c>
    </row>
    <row r="946" spans="1:12" x14ac:dyDescent="0.25">
      <c r="A946" s="49">
        <v>1988</v>
      </c>
      <c r="B946" s="330" t="s">
        <v>28</v>
      </c>
      <c r="C946" s="331">
        <v>4005476893</v>
      </c>
      <c r="D946" s="331">
        <v>2779749860</v>
      </c>
      <c r="E946" s="331">
        <v>48686524</v>
      </c>
      <c r="F946" s="331">
        <v>36403</v>
      </c>
      <c r="G946" s="332">
        <f t="shared" si="28"/>
        <v>9.0883060800121303E-6</v>
      </c>
      <c r="H946" s="331">
        <v>63728</v>
      </c>
      <c r="I946" s="331">
        <v>0</v>
      </c>
      <c r="J946" s="331">
        <f t="shared" si="29"/>
        <v>63728</v>
      </c>
      <c r="K946" s="199">
        <v>1.75</v>
      </c>
      <c r="L946" s="199">
        <v>1.88</v>
      </c>
    </row>
    <row r="947" spans="1:12" ht="15" customHeight="1" x14ac:dyDescent="0.25">
      <c r="A947" s="49">
        <v>1989</v>
      </c>
      <c r="B947" s="330" t="s">
        <v>28</v>
      </c>
      <c r="C947" s="331">
        <v>4203768234</v>
      </c>
      <c r="D947" s="331">
        <v>2910569377</v>
      </c>
      <c r="E947" s="331">
        <v>43278141</v>
      </c>
      <c r="F947" s="331">
        <v>33788</v>
      </c>
      <c r="G947" s="332">
        <f t="shared" si="28"/>
        <v>8.0375506258226315E-6</v>
      </c>
      <c r="H947" s="331">
        <v>80174</v>
      </c>
      <c r="I947" s="331">
        <v>0</v>
      </c>
      <c r="J947" s="331">
        <f t="shared" si="29"/>
        <v>80174</v>
      </c>
      <c r="K947" s="199">
        <v>1.49</v>
      </c>
      <c r="L947" s="199">
        <v>1.88</v>
      </c>
    </row>
    <row r="948" spans="1:12" ht="15" customHeight="1" x14ac:dyDescent="0.25">
      <c r="A948" s="49">
        <v>1990</v>
      </c>
      <c r="B948" s="330" t="s">
        <v>28</v>
      </c>
      <c r="C948" s="331">
        <v>4469136495</v>
      </c>
      <c r="D948" s="331">
        <v>3093141758</v>
      </c>
      <c r="E948" s="331">
        <v>40928792</v>
      </c>
      <c r="F948" s="331">
        <v>36497</v>
      </c>
      <c r="G948" s="332">
        <f t="shared" si="28"/>
        <v>8.1664545356429086E-6</v>
      </c>
      <c r="H948" s="331">
        <v>93190</v>
      </c>
      <c r="I948" s="331">
        <v>0</v>
      </c>
      <c r="J948" s="331">
        <f t="shared" si="29"/>
        <v>93190</v>
      </c>
      <c r="K948" s="199">
        <v>1.32</v>
      </c>
      <c r="L948" s="199">
        <v>1.88</v>
      </c>
    </row>
    <row r="949" spans="1:12" ht="15" customHeight="1" x14ac:dyDescent="0.25">
      <c r="A949" s="49">
        <v>1991</v>
      </c>
      <c r="B949" s="330" t="s">
        <v>28</v>
      </c>
      <c r="C949" s="331">
        <v>4769467417</v>
      </c>
      <c r="D949" s="331">
        <v>3283209233</v>
      </c>
      <c r="E949" s="331">
        <v>34160924</v>
      </c>
      <c r="F949" s="331">
        <v>45332</v>
      </c>
      <c r="G949" s="332">
        <f t="shared" si="28"/>
        <v>9.5046251576059353E-6</v>
      </c>
      <c r="H949" s="331">
        <v>91119</v>
      </c>
      <c r="I949" s="331">
        <v>0</v>
      </c>
      <c r="J949" s="331">
        <f t="shared" si="29"/>
        <v>91119</v>
      </c>
      <c r="K949" s="199">
        <v>1.04</v>
      </c>
      <c r="L949" s="199">
        <v>1.88</v>
      </c>
    </row>
    <row r="950" spans="1:12" ht="15" customHeight="1" x14ac:dyDescent="0.25">
      <c r="A950" s="49">
        <v>1992</v>
      </c>
      <c r="B950" s="330" t="s">
        <v>28</v>
      </c>
      <c r="C950" s="331">
        <v>5144485519</v>
      </c>
      <c r="D950" s="331">
        <v>3542585563</v>
      </c>
      <c r="E950" s="331">
        <v>41901319</v>
      </c>
      <c r="F950" s="331">
        <v>42753</v>
      </c>
      <c r="G950" s="332">
        <f t="shared" si="28"/>
        <v>8.3104520057645046E-6</v>
      </c>
      <c r="H950" s="331">
        <v>96370</v>
      </c>
      <c r="I950" s="331">
        <v>0</v>
      </c>
      <c r="J950" s="331">
        <f t="shared" si="29"/>
        <v>96370</v>
      </c>
      <c r="K950" s="199">
        <v>1.18</v>
      </c>
      <c r="L950" s="199">
        <v>1.88</v>
      </c>
    </row>
    <row r="951" spans="1:12" ht="15" customHeight="1" x14ac:dyDescent="0.25">
      <c r="A951" s="49">
        <v>1993</v>
      </c>
      <c r="B951" s="330" t="s">
        <v>28</v>
      </c>
      <c r="C951" s="331">
        <v>5454004274</v>
      </c>
      <c r="D951" s="331">
        <v>3776862066</v>
      </c>
      <c r="E951" s="331">
        <v>50133293</v>
      </c>
      <c r="F951" s="331">
        <v>48265</v>
      </c>
      <c r="G951" s="332">
        <f t="shared" si="28"/>
        <v>8.8494613453249384E-6</v>
      </c>
      <c r="H951" s="331">
        <v>104415</v>
      </c>
      <c r="I951" s="331">
        <v>0</v>
      </c>
      <c r="J951" s="331">
        <f t="shared" si="29"/>
        <v>104415</v>
      </c>
      <c r="K951" s="199">
        <v>1.33</v>
      </c>
      <c r="L951" s="199">
        <v>1.88</v>
      </c>
    </row>
    <row r="952" spans="1:12" ht="15" customHeight="1" x14ac:dyDescent="0.25">
      <c r="A952" s="49">
        <v>1994</v>
      </c>
      <c r="B952" s="330" t="s">
        <v>28</v>
      </c>
      <c r="C952" s="331">
        <v>5685415551</v>
      </c>
      <c r="D952" s="331">
        <v>3949496859</v>
      </c>
      <c r="E952" s="331">
        <v>53772879</v>
      </c>
      <c r="F952" s="331">
        <v>52965</v>
      </c>
      <c r="G952" s="332">
        <f t="shared" si="28"/>
        <v>9.3159417328226877E-6</v>
      </c>
      <c r="H952" s="331">
        <v>110910</v>
      </c>
      <c r="I952" s="331">
        <v>0</v>
      </c>
      <c r="J952" s="331">
        <f t="shared" si="29"/>
        <v>110910</v>
      </c>
      <c r="K952" s="199">
        <v>1.36</v>
      </c>
      <c r="L952" s="199">
        <v>1.88</v>
      </c>
    </row>
    <row r="953" spans="1:12" ht="15" customHeight="1" x14ac:dyDescent="0.25">
      <c r="A953" s="49">
        <v>1995</v>
      </c>
      <c r="B953" s="330" t="s">
        <v>28</v>
      </c>
      <c r="C953" s="331">
        <v>5886877954</v>
      </c>
      <c r="D953" s="331">
        <v>4044197802</v>
      </c>
      <c r="E953" s="331">
        <v>56191561</v>
      </c>
      <c r="F953" s="331">
        <v>53472</v>
      </c>
      <c r="G953" s="332">
        <f t="shared" si="28"/>
        <v>9.0832526880682127E-6</v>
      </c>
      <c r="H953" s="331">
        <v>122242</v>
      </c>
      <c r="I953" s="331">
        <v>0</v>
      </c>
      <c r="J953" s="331">
        <f t="shared" si="29"/>
        <v>122242</v>
      </c>
      <c r="K953" s="199">
        <v>1.39</v>
      </c>
      <c r="L953" s="199">
        <v>1.8</v>
      </c>
    </row>
    <row r="954" spans="1:12" ht="15" customHeight="1" x14ac:dyDescent="0.25">
      <c r="A954" s="49">
        <v>1996</v>
      </c>
      <c r="B954" s="330" t="s">
        <v>28</v>
      </c>
      <c r="C954" s="331">
        <v>6199214230</v>
      </c>
      <c r="D954" s="331">
        <v>4251963679</v>
      </c>
      <c r="E954" s="331">
        <v>53937801</v>
      </c>
      <c r="F954" s="331">
        <v>59476</v>
      </c>
      <c r="G954" s="332">
        <f t="shared" si="28"/>
        <v>9.5941191566144663E-6</v>
      </c>
      <c r="H954" s="331">
        <v>125900</v>
      </c>
      <c r="I954" s="331">
        <v>0</v>
      </c>
      <c r="J954" s="331">
        <f t="shared" si="29"/>
        <v>125900</v>
      </c>
      <c r="K954" s="199">
        <v>1.27</v>
      </c>
      <c r="L954" s="199">
        <v>1.78</v>
      </c>
    </row>
    <row r="955" spans="1:12" ht="15" customHeight="1" x14ac:dyDescent="0.25">
      <c r="A955" s="49">
        <v>1997</v>
      </c>
      <c r="B955" s="330" t="s">
        <v>28</v>
      </c>
      <c r="C955" s="331">
        <v>6495659740</v>
      </c>
      <c r="D955" s="331">
        <v>4381563436</v>
      </c>
      <c r="E955" s="331">
        <v>55980592</v>
      </c>
      <c r="F955" s="331">
        <v>54163</v>
      </c>
      <c r="G955" s="332">
        <f t="shared" si="28"/>
        <v>8.3383370077817533E-6</v>
      </c>
      <c r="H955" s="331">
        <v>135604</v>
      </c>
      <c r="I955" s="331">
        <v>0</v>
      </c>
      <c r="J955" s="331">
        <f t="shared" si="29"/>
        <v>135604</v>
      </c>
      <c r="K955" s="199">
        <v>1.28</v>
      </c>
      <c r="L955" s="199">
        <v>1.7</v>
      </c>
    </row>
    <row r="956" spans="1:12" ht="15" customHeight="1" x14ac:dyDescent="0.25">
      <c r="A956" s="49">
        <v>1998</v>
      </c>
      <c r="B956" s="330" t="s">
        <v>28</v>
      </c>
      <c r="C956" s="331">
        <v>6818746487</v>
      </c>
      <c r="D956" s="331">
        <v>4536894753</v>
      </c>
      <c r="E956" s="331">
        <v>58627841</v>
      </c>
      <c r="F956" s="331">
        <v>52838</v>
      </c>
      <c r="G956" s="332">
        <f t="shared" si="28"/>
        <v>7.7489315815943746E-6</v>
      </c>
      <c r="H956" s="331">
        <v>151359</v>
      </c>
      <c r="I956" s="331">
        <v>0</v>
      </c>
      <c r="J956" s="331">
        <f t="shared" si="29"/>
        <v>151359</v>
      </c>
      <c r="K956" s="199">
        <v>1.29</v>
      </c>
      <c r="L956" s="199">
        <v>1.7</v>
      </c>
    </row>
    <row r="957" spans="1:12" ht="15" customHeight="1" x14ac:dyDescent="0.25">
      <c r="A957" s="49">
        <v>1999</v>
      </c>
      <c r="B957" s="330" t="s">
        <v>28</v>
      </c>
      <c r="C957" s="331">
        <v>7106289079</v>
      </c>
      <c r="D957" s="331">
        <v>4745588499</v>
      </c>
      <c r="E957" s="331">
        <v>61878808</v>
      </c>
      <c r="F957" s="331">
        <v>54930</v>
      </c>
      <c r="G957" s="332">
        <f t="shared" si="28"/>
        <v>7.7297727955263223E-6</v>
      </c>
      <c r="H957" s="331">
        <v>169011</v>
      </c>
      <c r="I957" s="331">
        <v>0</v>
      </c>
      <c r="J957" s="331">
        <f t="shared" si="29"/>
        <v>169011</v>
      </c>
      <c r="K957" s="199">
        <v>1.3</v>
      </c>
      <c r="L957" s="199">
        <v>1.7</v>
      </c>
    </row>
    <row r="958" spans="1:12" ht="15" customHeight="1" x14ac:dyDescent="0.25">
      <c r="A958" s="49">
        <v>2000</v>
      </c>
      <c r="B958" s="330" t="s">
        <v>28</v>
      </c>
      <c r="C958" s="331">
        <v>7513131993</v>
      </c>
      <c r="D958" s="331">
        <v>5031559701</v>
      </c>
      <c r="E958" s="331">
        <v>52867845</v>
      </c>
      <c r="F958" s="331">
        <v>56621</v>
      </c>
      <c r="G958" s="332">
        <f t="shared" si="28"/>
        <v>7.5362711653081426E-6</v>
      </c>
      <c r="H958" s="331">
        <v>181697</v>
      </c>
      <c r="I958" s="331">
        <v>0</v>
      </c>
      <c r="J958" s="331">
        <f t="shared" si="29"/>
        <v>181697</v>
      </c>
      <c r="K958" s="199">
        <v>1.05</v>
      </c>
      <c r="L958" s="199">
        <v>1.7</v>
      </c>
    </row>
    <row r="959" spans="1:12" ht="15" customHeight="1" x14ac:dyDescent="0.25">
      <c r="A959" s="49">
        <v>2001</v>
      </c>
      <c r="B959" s="330" t="s">
        <v>28</v>
      </c>
      <c r="C959" s="331">
        <v>7776168833</v>
      </c>
      <c r="D959" s="331">
        <v>5079366271</v>
      </c>
      <c r="E959" s="331">
        <v>55329018</v>
      </c>
      <c r="F959" s="331">
        <v>67436</v>
      </c>
      <c r="G959" s="332">
        <f t="shared" si="28"/>
        <v>8.6721368129019373E-6</v>
      </c>
      <c r="H959" s="331">
        <v>186919</v>
      </c>
      <c r="I959" s="331">
        <v>0</v>
      </c>
      <c r="J959" s="331">
        <f t="shared" si="29"/>
        <v>186919</v>
      </c>
      <c r="K959" s="199">
        <v>1.0900000000000001</v>
      </c>
      <c r="L959" s="199">
        <v>1.7</v>
      </c>
    </row>
    <row r="960" spans="1:12" ht="15" customHeight="1" x14ac:dyDescent="0.25">
      <c r="A960" s="49">
        <v>2002</v>
      </c>
      <c r="B960" s="330" t="s">
        <v>28</v>
      </c>
      <c r="C960" s="331">
        <v>8149315684</v>
      </c>
      <c r="D960" s="331">
        <v>5421923706</v>
      </c>
      <c r="E960" s="331">
        <v>60156918</v>
      </c>
      <c r="F960" s="331">
        <v>70197</v>
      </c>
      <c r="G960" s="332">
        <f t="shared" si="28"/>
        <v>8.6138520977683605E-6</v>
      </c>
      <c r="H960" s="331">
        <v>206760</v>
      </c>
      <c r="I960" s="331">
        <v>0</v>
      </c>
      <c r="J960" s="331">
        <f t="shared" si="29"/>
        <v>206760</v>
      </c>
      <c r="K960" s="199">
        <v>1.1100000000000001</v>
      </c>
      <c r="L960" s="199">
        <v>1.7</v>
      </c>
    </row>
    <row r="961" spans="1:12" ht="15" customHeight="1" x14ac:dyDescent="0.25">
      <c r="A961" s="49">
        <v>2003</v>
      </c>
      <c r="B961" s="330" t="s">
        <v>28</v>
      </c>
      <c r="C961" s="331">
        <v>8481565487</v>
      </c>
      <c r="D961" s="331">
        <v>5691019773</v>
      </c>
      <c r="E961" s="331">
        <v>62581508</v>
      </c>
      <c r="F961" s="331">
        <v>78437</v>
      </c>
      <c r="G961" s="332">
        <f t="shared" si="28"/>
        <v>9.2479389707269496E-6</v>
      </c>
      <c r="H961" s="331">
        <v>196111</v>
      </c>
      <c r="I961" s="331">
        <v>0</v>
      </c>
      <c r="J961" s="331">
        <f t="shared" si="29"/>
        <v>196111</v>
      </c>
      <c r="K961" s="199">
        <v>1.1000000000000001</v>
      </c>
      <c r="L961" s="199">
        <v>1.7</v>
      </c>
    </row>
    <row r="962" spans="1:12" ht="15" customHeight="1" x14ac:dyDescent="0.25">
      <c r="A962" s="49">
        <v>2004</v>
      </c>
      <c r="B962" s="330" t="s">
        <v>28</v>
      </c>
      <c r="C962" s="331">
        <v>8965352013</v>
      </c>
      <c r="D962" s="331">
        <v>5930102366</v>
      </c>
      <c r="E962" s="331">
        <v>73012727</v>
      </c>
      <c r="F962" s="331">
        <v>66347</v>
      </c>
      <c r="G962" s="332">
        <f t="shared" ref="G962:G1025" si="30">F962/C962</f>
        <v>7.4003786916336444E-6</v>
      </c>
      <c r="H962" s="331">
        <v>204264</v>
      </c>
      <c r="I962" s="331">
        <v>0</v>
      </c>
      <c r="J962" s="331">
        <f t="shared" ref="J962:J1025" si="31">H962-I962</f>
        <v>204264</v>
      </c>
      <c r="K962" s="199">
        <v>1.23</v>
      </c>
      <c r="L962" s="199">
        <v>1.7</v>
      </c>
    </row>
    <row r="963" spans="1:12" ht="15" customHeight="1" x14ac:dyDescent="0.25">
      <c r="A963" s="49">
        <v>2005</v>
      </c>
      <c r="B963" s="330" t="s">
        <v>28</v>
      </c>
      <c r="C963" s="331">
        <v>9659285231</v>
      </c>
      <c r="D963" s="331">
        <v>6319460385</v>
      </c>
      <c r="E963" s="331">
        <v>73057623</v>
      </c>
      <c r="F963" s="331">
        <v>60758</v>
      </c>
      <c r="G963" s="332">
        <f t="shared" si="30"/>
        <v>6.2901134552903031E-6</v>
      </c>
      <c r="H963" s="331">
        <v>224007</v>
      </c>
      <c r="I963" s="331">
        <v>0</v>
      </c>
      <c r="J963" s="331">
        <f t="shared" si="31"/>
        <v>224007</v>
      </c>
      <c r="K963" s="199">
        <v>1.1599999999999999</v>
      </c>
      <c r="L963" s="199">
        <v>1.7</v>
      </c>
    </row>
    <row r="964" spans="1:12" ht="15" customHeight="1" x14ac:dyDescent="0.25">
      <c r="A964" s="49">
        <v>2006</v>
      </c>
      <c r="B964" s="330" t="s">
        <v>28</v>
      </c>
      <c r="C964" s="331">
        <v>10489814505</v>
      </c>
      <c r="D964" s="331">
        <v>6784320947</v>
      </c>
      <c r="E964" s="331">
        <v>79665775</v>
      </c>
      <c r="F964" s="331">
        <v>60182</v>
      </c>
      <c r="G964" s="332">
        <f t="shared" si="30"/>
        <v>5.7371843869416446E-6</v>
      </c>
      <c r="H964" s="331">
        <v>250437</v>
      </c>
      <c r="I964" s="331">
        <v>0</v>
      </c>
      <c r="J964" s="331">
        <f t="shared" si="31"/>
        <v>250437</v>
      </c>
      <c r="K964" s="199">
        <v>1.17</v>
      </c>
      <c r="L964" s="199">
        <v>1.7</v>
      </c>
    </row>
    <row r="965" spans="1:12" ht="15" customHeight="1" x14ac:dyDescent="0.25">
      <c r="A965" s="49">
        <v>2007</v>
      </c>
      <c r="B965" s="330" t="s">
        <v>28</v>
      </c>
      <c r="C965" s="331">
        <v>11365129136</v>
      </c>
      <c r="D965" s="331">
        <v>7349776182</v>
      </c>
      <c r="E965" s="331">
        <v>88225124</v>
      </c>
      <c r="F965" s="331">
        <v>67019</v>
      </c>
      <c r="G965" s="332">
        <f t="shared" si="30"/>
        <v>5.8968973601638805E-6</v>
      </c>
      <c r="H965" s="331">
        <v>280512</v>
      </c>
      <c r="I965" s="331">
        <v>0</v>
      </c>
      <c r="J965" s="331">
        <f t="shared" si="31"/>
        <v>280512</v>
      </c>
      <c r="K965" s="199">
        <v>1.2</v>
      </c>
      <c r="L965" s="199">
        <v>1.7</v>
      </c>
    </row>
    <row r="966" spans="1:12" ht="15" customHeight="1" x14ac:dyDescent="0.25">
      <c r="A966" s="49">
        <v>2008</v>
      </c>
      <c r="B966" s="330" t="s">
        <v>28</v>
      </c>
      <c r="C966" s="331">
        <v>11680594414</v>
      </c>
      <c r="D966" s="331">
        <v>7619868229</v>
      </c>
      <c r="E966" s="331">
        <v>74404587</v>
      </c>
      <c r="F966" s="331">
        <v>97728</v>
      </c>
      <c r="G966" s="332">
        <f t="shared" si="30"/>
        <v>8.3666974929688715E-6</v>
      </c>
      <c r="H966" s="331">
        <v>274994</v>
      </c>
      <c r="I966" s="331">
        <v>0</v>
      </c>
      <c r="J966" s="331">
        <f t="shared" si="31"/>
        <v>274994</v>
      </c>
      <c r="K966" s="199">
        <v>1</v>
      </c>
      <c r="L966" s="199">
        <v>1.7</v>
      </c>
    </row>
    <row r="967" spans="1:12" ht="15" customHeight="1" x14ac:dyDescent="0.25">
      <c r="A967" s="49">
        <v>2009</v>
      </c>
      <c r="B967" s="330" t="s">
        <v>28</v>
      </c>
      <c r="C967" s="331">
        <v>11159880861</v>
      </c>
      <c r="D967" s="331">
        <v>7455155596</v>
      </c>
      <c r="E967" s="331">
        <v>69356429</v>
      </c>
      <c r="F967" s="331">
        <v>204254</v>
      </c>
      <c r="G967" s="332">
        <f t="shared" si="30"/>
        <v>1.8302525138399862E-5</v>
      </c>
      <c r="H967" s="331">
        <v>166822</v>
      </c>
      <c r="I967" s="331">
        <v>0</v>
      </c>
      <c r="J967" s="331">
        <f t="shared" si="31"/>
        <v>166822</v>
      </c>
      <c r="K967" s="199">
        <v>0.9</v>
      </c>
      <c r="L967" s="199">
        <v>1.24</v>
      </c>
    </row>
    <row r="968" spans="1:12" ht="15" customHeight="1" x14ac:dyDescent="0.25">
      <c r="A968" s="49">
        <v>2010</v>
      </c>
      <c r="B968" s="330" t="s">
        <v>28</v>
      </c>
      <c r="C968" s="331">
        <v>11322465151</v>
      </c>
      <c r="D968" s="331">
        <v>7579549039</v>
      </c>
      <c r="E968" s="331">
        <v>116806409</v>
      </c>
      <c r="F968" s="331">
        <v>167500</v>
      </c>
      <c r="G968" s="332">
        <f t="shared" si="30"/>
        <v>1.4793598193164357E-5</v>
      </c>
      <c r="H968" s="331">
        <v>111973</v>
      </c>
      <c r="I968" s="331">
        <v>0</v>
      </c>
      <c r="J968" s="331">
        <f t="shared" si="31"/>
        <v>111973</v>
      </c>
      <c r="K968" s="199">
        <v>1.5</v>
      </c>
      <c r="L968" s="199">
        <v>1.42</v>
      </c>
    </row>
    <row r="969" spans="1:12" ht="15" customHeight="1" x14ac:dyDescent="0.25">
      <c r="A969" s="49">
        <v>2011</v>
      </c>
      <c r="B969" s="330" t="s">
        <v>28</v>
      </c>
      <c r="C969" s="331">
        <v>11845970690</v>
      </c>
      <c r="D969" s="331">
        <v>7805339064</v>
      </c>
      <c r="E969" s="331">
        <v>147926350</v>
      </c>
      <c r="F969" s="331">
        <v>130715</v>
      </c>
      <c r="G969" s="332">
        <f t="shared" si="30"/>
        <v>1.103455372469776E-5</v>
      </c>
      <c r="H969" s="331">
        <v>126802</v>
      </c>
      <c r="I969" s="331">
        <v>0</v>
      </c>
      <c r="J969" s="331">
        <f t="shared" si="31"/>
        <v>126802</v>
      </c>
      <c r="K969" s="199">
        <v>1.9</v>
      </c>
      <c r="L969" s="199">
        <v>1.47</v>
      </c>
    </row>
    <row r="970" spans="1:12" ht="15" customHeight="1" x14ac:dyDescent="0.25">
      <c r="A970" s="49">
        <v>2012</v>
      </c>
      <c r="B970" s="330" t="s">
        <v>28</v>
      </c>
      <c r="C970" s="331">
        <v>12559973120</v>
      </c>
      <c r="D970" s="331">
        <v>8170313808</v>
      </c>
      <c r="E970" s="331">
        <v>156596569</v>
      </c>
      <c r="F970" s="331">
        <v>119113</v>
      </c>
      <c r="G970" s="332">
        <f t="shared" si="30"/>
        <v>9.4835394042626744E-6</v>
      </c>
      <c r="H970" s="331">
        <v>168566</v>
      </c>
      <c r="I970" s="331">
        <v>0</v>
      </c>
      <c r="J970" s="331">
        <f t="shared" si="31"/>
        <v>168566</v>
      </c>
      <c r="K970" s="199">
        <v>1.92</v>
      </c>
      <c r="L970" s="199">
        <v>1.47</v>
      </c>
    </row>
    <row r="971" spans="1:12" ht="15" customHeight="1" x14ac:dyDescent="0.25">
      <c r="A971" s="49">
        <v>2013</v>
      </c>
      <c r="B971" s="330" t="s">
        <v>28</v>
      </c>
      <c r="C971" s="331">
        <v>12941584391</v>
      </c>
      <c r="D971" s="331">
        <v>8537541586</v>
      </c>
      <c r="E971" s="331">
        <v>153508159</v>
      </c>
      <c r="F971" s="331">
        <v>114336</v>
      </c>
      <c r="G971" s="332">
        <f t="shared" si="30"/>
        <v>8.8347760633939836E-6</v>
      </c>
      <c r="H971" s="331">
        <v>209941</v>
      </c>
      <c r="I971" s="331">
        <v>0</v>
      </c>
      <c r="J971" s="331">
        <f t="shared" si="31"/>
        <v>209941</v>
      </c>
      <c r="K971" s="199">
        <v>1.8</v>
      </c>
      <c r="L971" s="199">
        <v>1.47</v>
      </c>
    </row>
    <row r="972" spans="1:12" ht="15" customHeight="1" x14ac:dyDescent="0.25">
      <c r="A972" s="49">
        <v>2014</v>
      </c>
      <c r="B972" s="330" t="s">
        <v>28</v>
      </c>
      <c r="C972" s="331">
        <v>13527885436</v>
      </c>
      <c r="D972" s="331">
        <v>8917113253</v>
      </c>
      <c r="E972" s="331">
        <v>160711633</v>
      </c>
      <c r="F972" s="331">
        <v>95631</v>
      </c>
      <c r="G972" s="332">
        <f t="shared" si="30"/>
        <v>7.0691757741760342E-6</v>
      </c>
      <c r="H972" s="331">
        <v>267433</v>
      </c>
      <c r="I972" s="331">
        <v>0</v>
      </c>
      <c r="J972" s="331">
        <f t="shared" si="31"/>
        <v>267433</v>
      </c>
      <c r="K972" s="333">
        <v>1.8022831878459267</v>
      </c>
      <c r="L972" s="199">
        <v>1.47</v>
      </c>
    </row>
    <row r="973" spans="1:12" ht="15" customHeight="1" x14ac:dyDescent="0.25">
      <c r="A973" s="49">
        <v>2015</v>
      </c>
      <c r="B973" s="330" t="s">
        <v>28</v>
      </c>
      <c r="C973" s="334">
        <v>14284983000</v>
      </c>
      <c r="D973" s="334">
        <v>9375978000</v>
      </c>
      <c r="E973" s="334">
        <v>129490000</v>
      </c>
      <c r="F973" s="331">
        <v>94026</v>
      </c>
      <c r="G973" s="332">
        <f t="shared" si="30"/>
        <v>6.5821569406137901E-6</v>
      </c>
      <c r="H973" s="331">
        <v>309990</v>
      </c>
      <c r="I973" s="199">
        <v>0</v>
      </c>
      <c r="J973" s="331">
        <f t="shared" si="31"/>
        <v>309990</v>
      </c>
      <c r="K973" s="199">
        <v>1.5</v>
      </c>
      <c r="L973" s="199">
        <v>1.47</v>
      </c>
    </row>
    <row r="974" spans="1:12" ht="15" customHeight="1" x14ac:dyDescent="0.25">
      <c r="A974" s="49">
        <v>1980</v>
      </c>
      <c r="B974" s="330" t="s">
        <v>29</v>
      </c>
      <c r="C974" s="331">
        <v>22733118314</v>
      </c>
      <c r="D974" s="331">
        <v>11462046565</v>
      </c>
      <c r="E974" s="331">
        <v>215334368</v>
      </c>
      <c r="F974" s="331">
        <v>230529</v>
      </c>
      <c r="G974" s="332">
        <f t="shared" si="30"/>
        <v>1.0140667761273676E-5</v>
      </c>
      <c r="H974" s="331">
        <v>612730</v>
      </c>
      <c r="I974" s="331">
        <v>0</v>
      </c>
      <c r="J974" s="331">
        <f t="shared" si="31"/>
        <v>612730</v>
      </c>
      <c r="K974" s="199">
        <v>1.88</v>
      </c>
      <c r="L974" s="199">
        <v>1.71</v>
      </c>
    </row>
    <row r="975" spans="1:12" ht="15" customHeight="1" x14ac:dyDescent="0.25">
      <c r="A975" s="49">
        <v>1981</v>
      </c>
      <c r="B975" s="330" t="s">
        <v>29</v>
      </c>
      <c r="C975" s="331">
        <v>24973506924</v>
      </c>
      <c r="D975" s="331">
        <v>11828460065</v>
      </c>
      <c r="E975" s="331">
        <v>195029792</v>
      </c>
      <c r="F975" s="331">
        <v>248402</v>
      </c>
      <c r="G975" s="332">
        <f t="shared" si="30"/>
        <v>9.946620663086814E-6</v>
      </c>
      <c r="H975" s="331">
        <v>624556</v>
      </c>
      <c r="I975" s="331">
        <v>0</v>
      </c>
      <c r="J975" s="331">
        <f t="shared" si="31"/>
        <v>624556</v>
      </c>
      <c r="K975" s="199">
        <v>1.65</v>
      </c>
      <c r="L975" s="199">
        <v>1.6</v>
      </c>
    </row>
    <row r="976" spans="1:12" ht="15" customHeight="1" x14ac:dyDescent="0.25">
      <c r="A976" s="49">
        <v>1982</v>
      </c>
      <c r="B976" s="330" t="s">
        <v>29</v>
      </c>
      <c r="C976" s="331">
        <v>25730955449</v>
      </c>
      <c r="D976" s="331">
        <v>11433802963</v>
      </c>
      <c r="E976" s="331">
        <v>190461861</v>
      </c>
      <c r="F976" s="331">
        <v>448630</v>
      </c>
      <c r="G976" s="332">
        <f t="shared" si="30"/>
        <v>1.7435419407149742E-5</v>
      </c>
      <c r="H976" s="331">
        <v>400345</v>
      </c>
      <c r="I976" s="331">
        <v>0</v>
      </c>
      <c r="J976" s="331">
        <f t="shared" si="31"/>
        <v>400345</v>
      </c>
      <c r="K976" s="199">
        <v>1.67</v>
      </c>
      <c r="L976" s="199">
        <v>1.86</v>
      </c>
    </row>
    <row r="977" spans="1:12" ht="15" customHeight="1" x14ac:dyDescent="0.25">
      <c r="A977" s="49">
        <v>1983</v>
      </c>
      <c r="B977" s="330" t="s">
        <v>29</v>
      </c>
      <c r="C977" s="331">
        <v>28411709061</v>
      </c>
      <c r="D977" s="331">
        <v>13542119941</v>
      </c>
      <c r="E977" s="331">
        <v>236197387</v>
      </c>
      <c r="F977" s="331">
        <v>295316</v>
      </c>
      <c r="G977" s="332">
        <f t="shared" si="30"/>
        <v>1.0394165284670342E-5</v>
      </c>
      <c r="H977" s="331">
        <v>345896</v>
      </c>
      <c r="I977" s="331">
        <v>0</v>
      </c>
      <c r="J977" s="331">
        <f t="shared" si="31"/>
        <v>345896</v>
      </c>
      <c r="K977" s="199">
        <v>1.74</v>
      </c>
      <c r="L977" s="199">
        <v>1.86</v>
      </c>
    </row>
    <row r="978" spans="1:12" ht="15" customHeight="1" x14ac:dyDescent="0.25">
      <c r="A978" s="49">
        <v>1984</v>
      </c>
      <c r="B978" s="330" t="s">
        <v>29</v>
      </c>
      <c r="C978" s="331">
        <v>31935753969</v>
      </c>
      <c r="D978" s="331">
        <v>16330288938</v>
      </c>
      <c r="E978" s="331">
        <v>417254594</v>
      </c>
      <c r="F978" s="331">
        <v>189285</v>
      </c>
      <c r="G978" s="332">
        <f t="shared" si="30"/>
        <v>5.9270559318480078E-6</v>
      </c>
      <c r="H978" s="331">
        <v>611860</v>
      </c>
      <c r="I978" s="331">
        <v>0</v>
      </c>
      <c r="J978" s="331">
        <f t="shared" si="31"/>
        <v>611860</v>
      </c>
      <c r="K978" s="199">
        <v>2.56</v>
      </c>
      <c r="L978" s="199">
        <v>1.86</v>
      </c>
    </row>
    <row r="979" spans="1:12" ht="15" customHeight="1" x14ac:dyDescent="0.25">
      <c r="A979" s="49">
        <v>1985</v>
      </c>
      <c r="B979" s="330" t="s">
        <v>29</v>
      </c>
      <c r="C979" s="331">
        <v>34764804329</v>
      </c>
      <c r="D979" s="331">
        <v>17690714748</v>
      </c>
      <c r="E979" s="331">
        <v>430499481</v>
      </c>
      <c r="F979" s="331">
        <v>241064</v>
      </c>
      <c r="G979" s="332">
        <f t="shared" si="30"/>
        <v>6.934139416366856E-6</v>
      </c>
      <c r="H979" s="331">
        <v>879252</v>
      </c>
      <c r="I979" s="331">
        <v>0</v>
      </c>
      <c r="J979" s="331">
        <f t="shared" si="31"/>
        <v>879252</v>
      </c>
      <c r="K979" s="199">
        <v>2.4300000000000002</v>
      </c>
      <c r="L979" s="199">
        <v>1.86</v>
      </c>
    </row>
    <row r="980" spans="1:12" ht="15" customHeight="1" x14ac:dyDescent="0.25">
      <c r="A980" s="49">
        <v>1986</v>
      </c>
      <c r="B980" s="330" t="s">
        <v>29</v>
      </c>
      <c r="C980" s="331">
        <v>37519610323</v>
      </c>
      <c r="D980" s="331">
        <v>19340285883</v>
      </c>
      <c r="E980" s="331">
        <v>358758663</v>
      </c>
      <c r="F980" s="331">
        <v>221911</v>
      </c>
      <c r="G980" s="332">
        <f t="shared" si="30"/>
        <v>5.914533708895311E-6</v>
      </c>
      <c r="H980" s="331">
        <v>1122691</v>
      </c>
      <c r="I980" s="331">
        <v>0</v>
      </c>
      <c r="J980" s="331">
        <f t="shared" si="31"/>
        <v>1122691</v>
      </c>
      <c r="K980" s="199">
        <v>1.85</v>
      </c>
      <c r="L980" s="199">
        <v>1.86</v>
      </c>
    </row>
    <row r="981" spans="1:12" x14ac:dyDescent="0.25">
      <c r="A981" s="49">
        <v>1987</v>
      </c>
      <c r="B981" s="330" t="s">
        <v>29</v>
      </c>
      <c r="C981" s="331">
        <v>41243818950</v>
      </c>
      <c r="D981" s="331">
        <v>21193594236</v>
      </c>
      <c r="E981" s="331">
        <v>225912132</v>
      </c>
      <c r="F981" s="331">
        <v>186800</v>
      </c>
      <c r="G981" s="332">
        <f t="shared" si="30"/>
        <v>4.5291635148155938E-6</v>
      </c>
      <c r="H981" s="331">
        <v>1248082</v>
      </c>
      <c r="I981" s="331">
        <v>0</v>
      </c>
      <c r="J981" s="331">
        <f t="shared" si="31"/>
        <v>1248082</v>
      </c>
      <c r="K981" s="199">
        <v>1.07</v>
      </c>
      <c r="L981" s="199">
        <v>1.86</v>
      </c>
    </row>
    <row r="982" spans="1:12" ht="15" customHeight="1" x14ac:dyDescent="0.25">
      <c r="A982" s="49">
        <v>1988</v>
      </c>
      <c r="B982" s="330" t="s">
        <v>29</v>
      </c>
      <c r="C982" s="331">
        <v>44797143725</v>
      </c>
      <c r="D982" s="331">
        <v>22920802166</v>
      </c>
      <c r="E982" s="331">
        <v>216416407</v>
      </c>
      <c r="F982" s="331">
        <v>182451</v>
      </c>
      <c r="G982" s="332">
        <f t="shared" si="30"/>
        <v>4.0728266319841133E-6</v>
      </c>
      <c r="H982" s="331">
        <v>1360016</v>
      </c>
      <c r="I982" s="331">
        <v>0</v>
      </c>
      <c r="J982" s="331">
        <f t="shared" si="31"/>
        <v>1360016</v>
      </c>
      <c r="K982" s="199">
        <v>0.94</v>
      </c>
      <c r="L982" s="199">
        <v>1.86</v>
      </c>
    </row>
    <row r="983" spans="1:12" ht="15" customHeight="1" x14ac:dyDescent="0.25">
      <c r="A983" s="49">
        <v>1989</v>
      </c>
      <c r="B983" s="330" t="s">
        <v>29</v>
      </c>
      <c r="C983" s="331">
        <v>47501132130</v>
      </c>
      <c r="D983" s="331">
        <v>24589860950</v>
      </c>
      <c r="E983" s="331">
        <v>240543203</v>
      </c>
      <c r="F983" s="331">
        <v>211909</v>
      </c>
      <c r="G983" s="332">
        <f t="shared" si="30"/>
        <v>4.4611357771442658E-6</v>
      </c>
      <c r="H983" s="331">
        <v>1470657</v>
      </c>
      <c r="I983" s="331">
        <v>0</v>
      </c>
      <c r="J983" s="331">
        <f t="shared" si="31"/>
        <v>1470657</v>
      </c>
      <c r="K983" s="199">
        <v>0.98</v>
      </c>
      <c r="L983" s="199">
        <v>1.86</v>
      </c>
    </row>
    <row r="984" spans="1:12" ht="15" customHeight="1" x14ac:dyDescent="0.25">
      <c r="A984" s="49">
        <v>1990</v>
      </c>
      <c r="B984" s="330" t="s">
        <v>29</v>
      </c>
      <c r="C984" s="331">
        <v>49987110711</v>
      </c>
      <c r="D984" s="331">
        <v>25714259744</v>
      </c>
      <c r="E984" s="331">
        <v>258147469</v>
      </c>
      <c r="F984" s="331">
        <v>297935</v>
      </c>
      <c r="G984" s="332">
        <f t="shared" si="30"/>
        <v>5.9602364642059097E-6</v>
      </c>
      <c r="H984" s="331">
        <v>1513320</v>
      </c>
      <c r="I984" s="331">
        <v>0</v>
      </c>
      <c r="J984" s="331">
        <f t="shared" si="31"/>
        <v>1513320</v>
      </c>
      <c r="K984" s="199">
        <v>1</v>
      </c>
      <c r="L984" s="199">
        <v>1.86</v>
      </c>
    </row>
    <row r="985" spans="1:12" ht="15" customHeight="1" x14ac:dyDescent="0.25">
      <c r="A985" s="49">
        <v>1991</v>
      </c>
      <c r="B985" s="330" t="s">
        <v>29</v>
      </c>
      <c r="C985" s="331">
        <v>50902148075</v>
      </c>
      <c r="D985" s="331">
        <v>25988747746</v>
      </c>
      <c r="E985" s="331">
        <v>263059873</v>
      </c>
      <c r="F985" s="331">
        <v>472812</v>
      </c>
      <c r="G985" s="332">
        <f t="shared" si="30"/>
        <v>9.288645329925009E-6</v>
      </c>
      <c r="H985" s="331">
        <v>1373719</v>
      </c>
      <c r="I985" s="331">
        <v>0</v>
      </c>
      <c r="J985" s="331">
        <f t="shared" si="31"/>
        <v>1373719</v>
      </c>
      <c r="K985" s="199">
        <v>1.01</v>
      </c>
      <c r="L985" s="199">
        <v>1.86</v>
      </c>
    </row>
    <row r="986" spans="1:12" ht="15" customHeight="1" x14ac:dyDescent="0.25">
      <c r="A986" s="49">
        <v>1992</v>
      </c>
      <c r="B986" s="330" t="s">
        <v>29</v>
      </c>
      <c r="C986" s="331">
        <v>54965421426</v>
      </c>
      <c r="D986" s="331">
        <v>27831992660</v>
      </c>
      <c r="E986" s="331">
        <v>272409900</v>
      </c>
      <c r="F986" s="331">
        <v>362149</v>
      </c>
      <c r="G986" s="332">
        <f t="shared" si="30"/>
        <v>6.5886695781558148E-6</v>
      </c>
      <c r="H986" s="331">
        <v>1387170</v>
      </c>
      <c r="I986" s="331">
        <v>0</v>
      </c>
      <c r="J986" s="331">
        <f t="shared" si="31"/>
        <v>1387170</v>
      </c>
      <c r="K986" s="199">
        <v>0.98</v>
      </c>
      <c r="L986" s="199">
        <v>1.86</v>
      </c>
    </row>
    <row r="987" spans="1:12" ht="15" customHeight="1" x14ac:dyDescent="0.25">
      <c r="A987" s="49">
        <v>1993</v>
      </c>
      <c r="B987" s="330" t="s">
        <v>29</v>
      </c>
      <c r="C987" s="331">
        <v>58256077232</v>
      </c>
      <c r="D987" s="331">
        <v>29707854495</v>
      </c>
      <c r="E987" s="331">
        <v>276958263</v>
      </c>
      <c r="F987" s="331">
        <v>244942</v>
      </c>
      <c r="G987" s="332">
        <f t="shared" si="30"/>
        <v>4.2045742116232571E-6</v>
      </c>
      <c r="H987" s="331">
        <v>1514674</v>
      </c>
      <c r="I987" s="331">
        <v>0</v>
      </c>
      <c r="J987" s="331">
        <f t="shared" si="31"/>
        <v>1514674</v>
      </c>
      <c r="K987" s="199">
        <v>0.93</v>
      </c>
      <c r="L987" s="199">
        <v>1.86</v>
      </c>
    </row>
    <row r="988" spans="1:12" ht="15" customHeight="1" x14ac:dyDescent="0.25">
      <c r="A988" s="49">
        <v>1994</v>
      </c>
      <c r="B988" s="330" t="s">
        <v>29</v>
      </c>
      <c r="C988" s="331">
        <v>62495973194</v>
      </c>
      <c r="D988" s="331">
        <v>32394314219</v>
      </c>
      <c r="E988" s="331">
        <v>209972855</v>
      </c>
      <c r="F988" s="331">
        <v>261869</v>
      </c>
      <c r="G988" s="332">
        <f t="shared" si="30"/>
        <v>4.190173968282824E-6</v>
      </c>
      <c r="H988" s="331">
        <v>1555329</v>
      </c>
      <c r="I988" s="331">
        <v>0</v>
      </c>
      <c r="J988" s="331">
        <f t="shared" si="31"/>
        <v>1555329</v>
      </c>
      <c r="K988" s="199">
        <v>0.65</v>
      </c>
      <c r="L988" s="199">
        <v>1.86</v>
      </c>
    </row>
    <row r="989" spans="1:12" ht="15" customHeight="1" x14ac:dyDescent="0.25">
      <c r="A989" s="49">
        <v>1995</v>
      </c>
      <c r="B989" s="330" t="s">
        <v>29</v>
      </c>
      <c r="C989" s="331">
        <v>67327220103</v>
      </c>
      <c r="D989" s="331">
        <v>30994477549</v>
      </c>
      <c r="E989" s="331">
        <v>190648311</v>
      </c>
      <c r="F989" s="331">
        <v>315503</v>
      </c>
      <c r="G989" s="332">
        <f t="shared" si="30"/>
        <v>4.6861135736382748E-6</v>
      </c>
      <c r="H989" s="331">
        <v>1531117</v>
      </c>
      <c r="I989" s="331">
        <v>0</v>
      </c>
      <c r="J989" s="331">
        <f t="shared" si="31"/>
        <v>1531117</v>
      </c>
      <c r="K989" s="199">
        <v>0.62</v>
      </c>
      <c r="L989" s="199">
        <v>1.41</v>
      </c>
    </row>
    <row r="990" spans="1:12" ht="15" customHeight="1" x14ac:dyDescent="0.25">
      <c r="A990" s="49">
        <v>1996</v>
      </c>
      <c r="B990" s="330" t="s">
        <v>29</v>
      </c>
      <c r="C990" s="331">
        <v>72138353836</v>
      </c>
      <c r="D990" s="331">
        <v>32808214857</v>
      </c>
      <c r="E990" s="331">
        <v>73287688</v>
      </c>
      <c r="F990" s="331">
        <v>381767</v>
      </c>
      <c r="G990" s="332">
        <f t="shared" si="30"/>
        <v>5.2921501489750187E-6</v>
      </c>
      <c r="H990" s="331">
        <v>1335565</v>
      </c>
      <c r="I990" s="331">
        <v>0</v>
      </c>
      <c r="J990" s="331">
        <f t="shared" si="31"/>
        <v>1335565</v>
      </c>
      <c r="K990" s="199">
        <v>0.22</v>
      </c>
      <c r="L990" s="199">
        <v>1.32</v>
      </c>
    </row>
    <row r="991" spans="1:12" ht="15" customHeight="1" x14ac:dyDescent="0.25">
      <c r="A991" s="49">
        <v>1997</v>
      </c>
      <c r="B991" s="330" t="s">
        <v>29</v>
      </c>
      <c r="C991" s="331">
        <v>78542626534</v>
      </c>
      <c r="D991" s="331">
        <v>35216148466</v>
      </c>
      <c r="E991" s="331">
        <v>241163557</v>
      </c>
      <c r="F991" s="331">
        <v>346357</v>
      </c>
      <c r="G991" s="332">
        <f t="shared" si="30"/>
        <v>4.4097965052144891E-6</v>
      </c>
      <c r="H991" s="331">
        <v>1301184</v>
      </c>
      <c r="I991" s="331">
        <v>0</v>
      </c>
      <c r="J991" s="331">
        <f t="shared" si="31"/>
        <v>1301184</v>
      </c>
      <c r="K991" s="199">
        <v>0.68</v>
      </c>
      <c r="L991" s="199">
        <v>1.32</v>
      </c>
    </row>
    <row r="992" spans="1:12" ht="15" customHeight="1" x14ac:dyDescent="0.25">
      <c r="A992" s="49">
        <v>1998</v>
      </c>
      <c r="B992" s="330" t="s">
        <v>29</v>
      </c>
      <c r="C992" s="331">
        <v>85063430891</v>
      </c>
      <c r="D992" s="331">
        <v>37729927572</v>
      </c>
      <c r="E992" s="331">
        <v>298592290</v>
      </c>
      <c r="F992" s="331">
        <v>378427</v>
      </c>
      <c r="G992" s="332">
        <f t="shared" si="30"/>
        <v>4.4487624827279204E-6</v>
      </c>
      <c r="H992" s="331">
        <v>1293505</v>
      </c>
      <c r="I992" s="331">
        <v>0</v>
      </c>
      <c r="J992" s="331">
        <f t="shared" si="31"/>
        <v>1293505</v>
      </c>
      <c r="K992" s="199">
        <v>0.79</v>
      </c>
      <c r="L992" s="199">
        <v>1.32</v>
      </c>
    </row>
    <row r="993" spans="1:12" ht="15" customHeight="1" x14ac:dyDescent="0.25">
      <c r="A993" s="49">
        <v>1999</v>
      </c>
      <c r="B993" s="330" t="s">
        <v>29</v>
      </c>
      <c r="C993" s="331">
        <v>91495770481</v>
      </c>
      <c r="D993" s="331">
        <v>40620712803</v>
      </c>
      <c r="E993" s="331">
        <v>320665594</v>
      </c>
      <c r="F993" s="331">
        <v>415731</v>
      </c>
      <c r="G993" s="332">
        <f t="shared" si="30"/>
        <v>4.5437182266947593E-6</v>
      </c>
      <c r="H993" s="331">
        <v>1275856</v>
      </c>
      <c r="I993" s="331">
        <v>0</v>
      </c>
      <c r="J993" s="331">
        <f t="shared" si="31"/>
        <v>1275856</v>
      </c>
      <c r="K993" s="199">
        <v>0.79</v>
      </c>
      <c r="L993" s="199">
        <v>1.32</v>
      </c>
    </row>
    <row r="994" spans="1:12" ht="15" customHeight="1" x14ac:dyDescent="0.25">
      <c r="A994" s="49">
        <v>2000</v>
      </c>
      <c r="B994" s="330" t="s">
        <v>29</v>
      </c>
      <c r="C994" s="331">
        <v>97594210777</v>
      </c>
      <c r="D994" s="331">
        <v>43261346466</v>
      </c>
      <c r="E994" s="331">
        <v>278088161</v>
      </c>
      <c r="F994" s="331">
        <v>477408</v>
      </c>
      <c r="G994" s="332">
        <f t="shared" si="30"/>
        <v>4.8917655688703068E-6</v>
      </c>
      <c r="H994" s="331">
        <v>1174664</v>
      </c>
      <c r="I994" s="331">
        <v>0</v>
      </c>
      <c r="J994" s="331">
        <f t="shared" si="31"/>
        <v>1174664</v>
      </c>
      <c r="K994" s="199">
        <v>0.64</v>
      </c>
      <c r="L994" s="199">
        <v>1.32</v>
      </c>
    </row>
    <row r="995" spans="1:12" ht="15" customHeight="1" x14ac:dyDescent="0.25">
      <c r="A995" s="49">
        <v>2001</v>
      </c>
      <c r="B995" s="330" t="s">
        <v>29</v>
      </c>
      <c r="C995" s="331">
        <v>98312026941</v>
      </c>
      <c r="D995" s="331">
        <v>43942912781</v>
      </c>
      <c r="E995" s="331">
        <v>304759519</v>
      </c>
      <c r="F995" s="331">
        <v>918969</v>
      </c>
      <c r="G995" s="332">
        <f t="shared" si="30"/>
        <v>9.3474728229487207E-6</v>
      </c>
      <c r="H995" s="331">
        <v>626318</v>
      </c>
      <c r="I995" s="331">
        <v>0</v>
      </c>
      <c r="J995" s="331">
        <f t="shared" si="31"/>
        <v>626318</v>
      </c>
      <c r="K995" s="199">
        <v>0.69</v>
      </c>
      <c r="L995" s="199">
        <v>1.31</v>
      </c>
    </row>
    <row r="996" spans="1:12" ht="15" customHeight="1" x14ac:dyDescent="0.25">
      <c r="A996" s="49">
        <v>2002</v>
      </c>
      <c r="B996" s="330" t="s">
        <v>29</v>
      </c>
      <c r="C996" s="331">
        <v>98112428869</v>
      </c>
      <c r="D996" s="331">
        <v>44284240993</v>
      </c>
      <c r="E996" s="331">
        <v>386711324</v>
      </c>
      <c r="F996" s="331">
        <v>1066002</v>
      </c>
      <c r="G996" s="332">
        <f t="shared" si="30"/>
        <v>1.0865106615832831E-5</v>
      </c>
      <c r="H996" s="331">
        <v>188529</v>
      </c>
      <c r="I996" s="331">
        <v>0</v>
      </c>
      <c r="J996" s="331">
        <f t="shared" si="31"/>
        <v>188529</v>
      </c>
      <c r="K996" s="199">
        <v>0.87</v>
      </c>
      <c r="L996" s="199">
        <v>1.34</v>
      </c>
    </row>
    <row r="997" spans="1:12" ht="15" customHeight="1" x14ac:dyDescent="0.25">
      <c r="A997" s="49">
        <v>2003</v>
      </c>
      <c r="B997" s="330" t="s">
        <v>29</v>
      </c>
      <c r="C997" s="331">
        <v>99042024660</v>
      </c>
      <c r="D997" s="331">
        <v>44563995491</v>
      </c>
      <c r="E997" s="331">
        <v>744857517</v>
      </c>
      <c r="F997" s="331">
        <v>922214</v>
      </c>
      <c r="G997" s="332">
        <f t="shared" si="30"/>
        <v>9.3113403443220774E-6</v>
      </c>
      <c r="H997" s="331">
        <v>10412</v>
      </c>
      <c r="I997" s="331">
        <v>0</v>
      </c>
      <c r="J997" s="331">
        <f t="shared" si="31"/>
        <v>10412</v>
      </c>
      <c r="K997" s="199">
        <v>1.67</v>
      </c>
      <c r="L997" s="199">
        <v>1.34</v>
      </c>
    </row>
    <row r="998" spans="1:12" ht="15" customHeight="1" x14ac:dyDescent="0.25">
      <c r="A998" s="49">
        <v>2004</v>
      </c>
      <c r="B998" s="330" t="s">
        <v>29</v>
      </c>
      <c r="C998" s="331">
        <v>104427134771</v>
      </c>
      <c r="D998" s="331">
        <v>46095604855</v>
      </c>
      <c r="E998" s="331">
        <v>795465602</v>
      </c>
      <c r="F998" s="331">
        <v>825978</v>
      </c>
      <c r="G998" s="332">
        <f t="shared" si="30"/>
        <v>7.9096108670538639E-6</v>
      </c>
      <c r="H998" s="331">
        <v>17037</v>
      </c>
      <c r="I998" s="331">
        <v>0</v>
      </c>
      <c r="J998" s="331">
        <f t="shared" si="31"/>
        <v>17037</v>
      </c>
      <c r="K998" s="199">
        <v>1.73</v>
      </c>
      <c r="L998" s="199">
        <v>1.34</v>
      </c>
    </row>
    <row r="999" spans="1:12" ht="15" customHeight="1" x14ac:dyDescent="0.25">
      <c r="A999" s="49">
        <v>2005</v>
      </c>
      <c r="B999" s="330" t="s">
        <v>29</v>
      </c>
      <c r="C999" s="331">
        <v>109758370188</v>
      </c>
      <c r="D999" s="331">
        <v>48558869740</v>
      </c>
      <c r="E999" s="331">
        <v>1002447662</v>
      </c>
      <c r="F999" s="331">
        <v>665624</v>
      </c>
      <c r="G999" s="332">
        <f t="shared" si="30"/>
        <v>6.0644486507943187E-6</v>
      </c>
      <c r="H999" s="331">
        <v>43286</v>
      </c>
      <c r="I999" s="331">
        <v>0</v>
      </c>
      <c r="J999" s="331">
        <f t="shared" si="31"/>
        <v>43286</v>
      </c>
      <c r="K999" s="199">
        <v>2.0699999999999998</v>
      </c>
      <c r="L999" s="199">
        <v>1.34</v>
      </c>
    </row>
    <row r="1000" spans="1:12" ht="15" customHeight="1" x14ac:dyDescent="0.25">
      <c r="A1000" s="49">
        <v>2006</v>
      </c>
      <c r="B1000" s="330" t="s">
        <v>29</v>
      </c>
      <c r="C1000" s="331">
        <v>118168439444</v>
      </c>
      <c r="D1000" s="331">
        <v>51249201798</v>
      </c>
      <c r="E1000" s="331">
        <v>1010238673</v>
      </c>
      <c r="F1000" s="331">
        <v>692346</v>
      </c>
      <c r="G1000" s="332">
        <f t="shared" si="30"/>
        <v>5.8589755712912046E-6</v>
      </c>
      <c r="H1000" s="331">
        <v>186570</v>
      </c>
      <c r="I1000" s="331">
        <v>0</v>
      </c>
      <c r="J1000" s="331">
        <f t="shared" si="31"/>
        <v>186570</v>
      </c>
      <c r="K1000" s="199">
        <v>1.97</v>
      </c>
      <c r="L1000" s="199">
        <v>1.34</v>
      </c>
    </row>
    <row r="1001" spans="1:12" ht="15" customHeight="1" x14ac:dyDescent="0.25">
      <c r="A1001" s="49">
        <v>2007</v>
      </c>
      <c r="B1001" s="330" t="s">
        <v>29</v>
      </c>
      <c r="C1001" s="331">
        <v>125697674308</v>
      </c>
      <c r="D1001" s="331">
        <v>54289834643</v>
      </c>
      <c r="E1001" s="331">
        <v>1018845850</v>
      </c>
      <c r="F1001" s="331">
        <v>689718</v>
      </c>
      <c r="G1001" s="332">
        <f t="shared" si="30"/>
        <v>5.4871182286950481E-6</v>
      </c>
      <c r="H1001" s="331">
        <v>394426</v>
      </c>
      <c r="I1001" s="331">
        <v>0</v>
      </c>
      <c r="J1001" s="331">
        <f t="shared" si="31"/>
        <v>394426</v>
      </c>
      <c r="K1001" s="199">
        <v>1.88</v>
      </c>
      <c r="L1001" s="199">
        <v>1.34</v>
      </c>
    </row>
    <row r="1002" spans="1:12" ht="15" customHeight="1" x14ac:dyDescent="0.25">
      <c r="A1002" s="49">
        <v>2008</v>
      </c>
      <c r="B1002" s="330" t="s">
        <v>29</v>
      </c>
      <c r="C1002" s="331">
        <v>126672319441</v>
      </c>
      <c r="D1002" s="331">
        <v>55386157579</v>
      </c>
      <c r="E1002" s="331">
        <v>997067624</v>
      </c>
      <c r="F1002" s="331">
        <v>1022205</v>
      </c>
      <c r="G1002" s="332">
        <f t="shared" si="30"/>
        <v>8.0696793467661348E-6</v>
      </c>
      <c r="H1002" s="331">
        <v>190695</v>
      </c>
      <c r="I1002" s="331">
        <v>0</v>
      </c>
      <c r="J1002" s="331">
        <f t="shared" si="31"/>
        <v>190695</v>
      </c>
      <c r="K1002" s="199">
        <v>1.8</v>
      </c>
      <c r="L1002" s="199">
        <v>1.34</v>
      </c>
    </row>
    <row r="1003" spans="1:12" ht="15" customHeight="1" x14ac:dyDescent="0.25">
      <c r="A1003" s="49">
        <v>2009</v>
      </c>
      <c r="B1003" s="330" t="s">
        <v>29</v>
      </c>
      <c r="C1003" s="331">
        <v>117278244861</v>
      </c>
      <c r="D1003" s="331">
        <v>52388366733</v>
      </c>
      <c r="E1003" s="331">
        <v>888263579</v>
      </c>
      <c r="F1003" s="331">
        <v>2487117</v>
      </c>
      <c r="G1003" s="332">
        <f t="shared" si="30"/>
        <v>2.1206976647269659E-5</v>
      </c>
      <c r="H1003" s="331">
        <v>19245</v>
      </c>
      <c r="I1003" s="331">
        <v>1606700</v>
      </c>
      <c r="J1003" s="331">
        <f t="shared" si="31"/>
        <v>-1587455</v>
      </c>
      <c r="K1003" s="199">
        <v>1.7</v>
      </c>
      <c r="L1003" s="199">
        <v>1.39</v>
      </c>
    </row>
    <row r="1004" spans="1:12" ht="15" customHeight="1" x14ac:dyDescent="0.25">
      <c r="A1004" s="49">
        <v>2010</v>
      </c>
      <c r="B1004" s="330" t="s">
        <v>29</v>
      </c>
      <c r="C1004" s="331">
        <v>119740419739</v>
      </c>
      <c r="D1004" s="331">
        <v>52598993252</v>
      </c>
      <c r="E1004" s="331">
        <v>919578754</v>
      </c>
      <c r="F1004" s="331">
        <v>1716853</v>
      </c>
      <c r="G1004" s="332">
        <f t="shared" si="30"/>
        <v>1.4338124116670464E-5</v>
      </c>
      <c r="H1004" s="331">
        <v>225658</v>
      </c>
      <c r="I1004" s="331">
        <v>2508604</v>
      </c>
      <c r="J1004" s="331">
        <f t="shared" si="31"/>
        <v>-2282946</v>
      </c>
      <c r="K1004" s="199">
        <v>1.7</v>
      </c>
      <c r="L1004" s="199">
        <v>1.56</v>
      </c>
    </row>
    <row r="1005" spans="1:12" ht="15" customHeight="1" x14ac:dyDescent="0.25">
      <c r="A1005" s="49">
        <v>2011</v>
      </c>
      <c r="B1005" s="330" t="s">
        <v>29</v>
      </c>
      <c r="C1005" s="331">
        <v>125105131322</v>
      </c>
      <c r="D1005" s="331">
        <v>53984070157</v>
      </c>
      <c r="E1005" s="331">
        <v>1198477549</v>
      </c>
      <c r="F1005" s="331">
        <v>1316141</v>
      </c>
      <c r="G1005" s="332">
        <f t="shared" si="30"/>
        <v>1.0520279912519894E-5</v>
      </c>
      <c r="H1005" s="331">
        <v>225767</v>
      </c>
      <c r="I1005" s="331">
        <v>2670478</v>
      </c>
      <c r="J1005" s="331">
        <f t="shared" si="31"/>
        <v>-2444711</v>
      </c>
      <c r="K1005" s="199">
        <v>2.2000000000000002</v>
      </c>
      <c r="L1005" s="199">
        <v>1.56</v>
      </c>
    </row>
    <row r="1006" spans="1:12" ht="15" customHeight="1" x14ac:dyDescent="0.25">
      <c r="A1006" s="49">
        <v>2012</v>
      </c>
      <c r="B1006" s="330" t="s">
        <v>29</v>
      </c>
      <c r="C1006" s="331">
        <v>130781514053</v>
      </c>
      <c r="D1006" s="331">
        <v>56786752654</v>
      </c>
      <c r="E1006" s="331">
        <v>1340560925</v>
      </c>
      <c r="F1006" s="331">
        <v>1222950</v>
      </c>
      <c r="G1006" s="332">
        <f t="shared" si="30"/>
        <v>9.3510922308514647E-6</v>
      </c>
      <c r="H1006" s="331">
        <v>225558</v>
      </c>
      <c r="I1006" s="331">
        <v>2546248</v>
      </c>
      <c r="J1006" s="331">
        <f t="shared" si="31"/>
        <v>-2320690</v>
      </c>
      <c r="K1006" s="199">
        <v>2.36</v>
      </c>
      <c r="L1006" s="199">
        <v>1.56</v>
      </c>
    </row>
    <row r="1007" spans="1:12" ht="15" customHeight="1" x14ac:dyDescent="0.25">
      <c r="A1007" s="49">
        <v>2013</v>
      </c>
      <c r="B1007" s="330" t="s">
        <v>29</v>
      </c>
      <c r="C1007" s="331">
        <v>148101614361</v>
      </c>
      <c r="D1007" s="331">
        <v>62068425201</v>
      </c>
      <c r="E1007" s="331">
        <v>1429463520</v>
      </c>
      <c r="F1007" s="331">
        <v>862041</v>
      </c>
      <c r="G1007" s="332">
        <f t="shared" si="30"/>
        <v>5.8206050198667082E-6</v>
      </c>
      <c r="H1007" s="331">
        <v>222385</v>
      </c>
      <c r="I1007" s="331">
        <v>1833395</v>
      </c>
      <c r="J1007" s="331">
        <f t="shared" si="31"/>
        <v>-1611010</v>
      </c>
      <c r="K1007" s="199">
        <v>2.2999999999999998</v>
      </c>
      <c r="L1007" s="199">
        <v>1.56</v>
      </c>
    </row>
    <row r="1008" spans="1:12" ht="15" customHeight="1" x14ac:dyDescent="0.25">
      <c r="A1008" s="49">
        <v>2014</v>
      </c>
      <c r="B1008" s="330" t="s">
        <v>29</v>
      </c>
      <c r="C1008" s="331">
        <v>158392612835</v>
      </c>
      <c r="D1008" s="331">
        <v>73280392689</v>
      </c>
      <c r="E1008" s="331">
        <v>1613756167</v>
      </c>
      <c r="F1008" s="331">
        <v>448061</v>
      </c>
      <c r="G1008" s="332">
        <f t="shared" si="30"/>
        <v>2.8287998536065062E-6</v>
      </c>
      <c r="H1008" s="331">
        <v>217880</v>
      </c>
      <c r="I1008" s="331">
        <v>435204</v>
      </c>
      <c r="J1008" s="331">
        <f t="shared" si="31"/>
        <v>-217324</v>
      </c>
      <c r="K1008" s="333">
        <v>2.2021663746382165</v>
      </c>
      <c r="L1008" s="199">
        <v>1.56</v>
      </c>
    </row>
    <row r="1009" spans="1:12" ht="15" customHeight="1" x14ac:dyDescent="0.25">
      <c r="A1009" s="49">
        <v>2015</v>
      </c>
      <c r="B1009" s="330" t="s">
        <v>29</v>
      </c>
      <c r="C1009" s="334">
        <v>153425579000</v>
      </c>
      <c r="D1009" s="334">
        <v>66371600000</v>
      </c>
      <c r="E1009" s="334">
        <v>1501445000</v>
      </c>
      <c r="F1009" s="331">
        <v>266439</v>
      </c>
      <c r="G1009" s="332">
        <f t="shared" si="30"/>
        <v>1.7366009092916638E-6</v>
      </c>
      <c r="H1009" s="331">
        <v>1362916</v>
      </c>
      <c r="I1009" s="199">
        <v>0</v>
      </c>
      <c r="J1009" s="331">
        <f t="shared" si="31"/>
        <v>1362916</v>
      </c>
      <c r="K1009" s="199">
        <v>2.2999999999999998</v>
      </c>
      <c r="L1009" s="199">
        <v>1.55</v>
      </c>
    </row>
    <row r="1010" spans="1:12" ht="15" customHeight="1" x14ac:dyDescent="0.25">
      <c r="A1010" s="49">
        <v>1980</v>
      </c>
      <c r="B1010" s="330" t="s">
        <v>30</v>
      </c>
      <c r="C1010" s="331">
        <v>2020434453</v>
      </c>
      <c r="D1010" s="331">
        <v>1115525694</v>
      </c>
      <c r="E1010" s="331">
        <v>27276055</v>
      </c>
      <c r="F1010" s="331">
        <v>32424</v>
      </c>
      <c r="G1010" s="332">
        <f t="shared" si="30"/>
        <v>1.6048033605770235E-5</v>
      </c>
      <c r="H1010" s="331">
        <v>18010</v>
      </c>
      <c r="I1010" s="331">
        <v>0</v>
      </c>
      <c r="J1010" s="331">
        <f t="shared" si="31"/>
        <v>18010</v>
      </c>
      <c r="K1010" s="199">
        <v>2.4500000000000002</v>
      </c>
      <c r="L1010" s="199">
        <v>1.72</v>
      </c>
    </row>
    <row r="1011" spans="1:12" ht="15" customHeight="1" x14ac:dyDescent="0.25">
      <c r="A1011" s="49">
        <v>1981</v>
      </c>
      <c r="B1011" s="330" t="s">
        <v>30</v>
      </c>
      <c r="C1011" s="331">
        <v>2306372412</v>
      </c>
      <c r="D1011" s="331">
        <v>1275578897</v>
      </c>
      <c r="E1011" s="331">
        <v>33088536</v>
      </c>
      <c r="F1011" s="331">
        <v>32605</v>
      </c>
      <c r="G1011" s="332">
        <f t="shared" si="30"/>
        <v>1.4136919012019469E-5</v>
      </c>
      <c r="H1011" s="331">
        <v>18335</v>
      </c>
      <c r="I1011" s="331">
        <v>0</v>
      </c>
      <c r="J1011" s="331">
        <f t="shared" si="31"/>
        <v>18335</v>
      </c>
      <c r="K1011" s="199">
        <v>2.59</v>
      </c>
      <c r="L1011" s="199">
        <v>1.63</v>
      </c>
    </row>
    <row r="1012" spans="1:12" ht="15" customHeight="1" x14ac:dyDescent="0.25">
      <c r="A1012" s="49">
        <v>1982</v>
      </c>
      <c r="B1012" s="330" t="s">
        <v>30</v>
      </c>
      <c r="C1012" s="331">
        <v>2436498874</v>
      </c>
      <c r="D1012" s="331">
        <v>1369832095</v>
      </c>
      <c r="E1012" s="331">
        <v>36358653</v>
      </c>
      <c r="F1012" s="331">
        <v>45655</v>
      </c>
      <c r="G1012" s="332">
        <f t="shared" si="30"/>
        <v>1.8737952431329544E-5</v>
      </c>
      <c r="H1012" s="331">
        <v>11304</v>
      </c>
      <c r="I1012" s="331">
        <v>0</v>
      </c>
      <c r="J1012" s="331">
        <f t="shared" si="31"/>
        <v>11304</v>
      </c>
      <c r="K1012" s="199">
        <v>2.65</v>
      </c>
      <c r="L1012" s="199">
        <v>1.73</v>
      </c>
    </row>
    <row r="1013" spans="1:12" ht="15" customHeight="1" x14ac:dyDescent="0.25">
      <c r="A1013" s="49">
        <v>1983</v>
      </c>
      <c r="B1013" s="330" t="s">
        <v>30</v>
      </c>
      <c r="C1013" s="331">
        <v>2497682377</v>
      </c>
      <c r="D1013" s="331">
        <v>1441146238</v>
      </c>
      <c r="E1013" s="331">
        <v>51827821</v>
      </c>
      <c r="F1013" s="331">
        <v>55953</v>
      </c>
      <c r="G1013" s="332">
        <f t="shared" si="30"/>
        <v>2.2401967726259056E-5</v>
      </c>
      <c r="H1013" s="331">
        <v>2614</v>
      </c>
      <c r="I1013" s="331">
        <v>0</v>
      </c>
      <c r="J1013" s="331">
        <f t="shared" si="31"/>
        <v>2614</v>
      </c>
      <c r="K1013" s="199">
        <v>3.6</v>
      </c>
      <c r="L1013" s="199">
        <v>1.96</v>
      </c>
    </row>
    <row r="1014" spans="1:12" ht="15" customHeight="1" x14ac:dyDescent="0.25">
      <c r="A1014" s="49">
        <v>1984</v>
      </c>
      <c r="B1014" s="330" t="s">
        <v>30</v>
      </c>
      <c r="C1014" s="331">
        <v>2533866120</v>
      </c>
      <c r="D1014" s="331">
        <v>1451197677</v>
      </c>
      <c r="E1014" s="331">
        <v>51317501</v>
      </c>
      <c r="F1014" s="331">
        <v>49907</v>
      </c>
      <c r="G1014" s="332">
        <f t="shared" si="30"/>
        <v>1.9695989305070309E-5</v>
      </c>
      <c r="H1014" s="331">
        <v>4617</v>
      </c>
      <c r="I1014" s="331">
        <v>0</v>
      </c>
      <c r="J1014" s="331">
        <f t="shared" si="31"/>
        <v>4617</v>
      </c>
      <c r="K1014" s="199">
        <v>3.54</v>
      </c>
      <c r="L1014" s="199">
        <v>2.06</v>
      </c>
    </row>
    <row r="1015" spans="1:12" ht="15" customHeight="1" x14ac:dyDescent="0.25">
      <c r="A1015" s="49">
        <v>1985</v>
      </c>
      <c r="B1015" s="330" t="s">
        <v>30</v>
      </c>
      <c r="C1015" s="331">
        <v>2528649261</v>
      </c>
      <c r="D1015" s="331">
        <v>1437312717</v>
      </c>
      <c r="E1015" s="331">
        <v>44511732</v>
      </c>
      <c r="F1015" s="331">
        <v>47092</v>
      </c>
      <c r="G1015" s="332">
        <f t="shared" si="30"/>
        <v>1.8623381552480164E-5</v>
      </c>
      <c r="H1015" s="331">
        <v>3436</v>
      </c>
      <c r="I1015" s="331">
        <v>0</v>
      </c>
      <c r="J1015" s="331">
        <f t="shared" si="31"/>
        <v>3436</v>
      </c>
      <c r="K1015" s="199">
        <v>3.1</v>
      </c>
      <c r="L1015" s="199">
        <v>2.06</v>
      </c>
    </row>
    <row r="1016" spans="1:12" x14ac:dyDescent="0.25">
      <c r="A1016" s="49">
        <v>1986</v>
      </c>
      <c r="B1016" s="330" t="s">
        <v>30</v>
      </c>
      <c r="C1016" s="331">
        <v>2487793958</v>
      </c>
      <c r="D1016" s="331">
        <v>1411116033</v>
      </c>
      <c r="E1016" s="331">
        <v>40364947</v>
      </c>
      <c r="F1016" s="331">
        <v>49902</v>
      </c>
      <c r="G1016" s="332">
        <f t="shared" si="30"/>
        <v>2.0058735105264695E-5</v>
      </c>
      <c r="H1016" s="331">
        <v>0</v>
      </c>
      <c r="I1016" s="331">
        <v>5501</v>
      </c>
      <c r="J1016" s="331">
        <f t="shared" si="31"/>
        <v>-5501</v>
      </c>
      <c r="K1016" s="199">
        <v>2.86</v>
      </c>
      <c r="L1016" s="199">
        <v>2.11</v>
      </c>
    </row>
    <row r="1017" spans="1:12" ht="15" customHeight="1" x14ac:dyDescent="0.25">
      <c r="A1017" s="49">
        <v>1987</v>
      </c>
      <c r="B1017" s="330" t="s">
        <v>30</v>
      </c>
      <c r="C1017" s="331">
        <v>2573908365</v>
      </c>
      <c r="D1017" s="331">
        <v>1422783741</v>
      </c>
      <c r="E1017" s="331">
        <v>59265372</v>
      </c>
      <c r="F1017" s="331">
        <v>36019</v>
      </c>
      <c r="G1017" s="332">
        <f t="shared" si="30"/>
        <v>1.3993893679272455E-5</v>
      </c>
      <c r="H1017" s="331">
        <v>14999</v>
      </c>
      <c r="I1017" s="331">
        <v>0</v>
      </c>
      <c r="J1017" s="331">
        <f t="shared" si="31"/>
        <v>14999</v>
      </c>
      <c r="K1017" s="199">
        <v>4.17</v>
      </c>
      <c r="L1017" s="199">
        <v>2.11</v>
      </c>
    </row>
    <row r="1018" spans="1:12" ht="15" customHeight="1" x14ac:dyDescent="0.25">
      <c r="A1018" s="49">
        <v>1988</v>
      </c>
      <c r="B1018" s="330" t="s">
        <v>30</v>
      </c>
      <c r="C1018" s="331">
        <v>2686739544</v>
      </c>
      <c r="D1018" s="331">
        <v>1472302860</v>
      </c>
      <c r="E1018" s="331">
        <v>40570888</v>
      </c>
      <c r="F1018" s="331">
        <v>27958</v>
      </c>
      <c r="G1018" s="332">
        <f t="shared" si="30"/>
        <v>1.0405921207522898E-5</v>
      </c>
      <c r="H1018" s="331">
        <v>33076</v>
      </c>
      <c r="I1018" s="331">
        <v>0</v>
      </c>
      <c r="J1018" s="331">
        <f t="shared" si="31"/>
        <v>33076</v>
      </c>
      <c r="K1018" s="199">
        <v>2.76</v>
      </c>
      <c r="L1018" s="199">
        <v>2.11</v>
      </c>
    </row>
    <row r="1019" spans="1:12" ht="15" customHeight="1" x14ac:dyDescent="0.25">
      <c r="A1019" s="49">
        <v>1989</v>
      </c>
      <c r="B1019" s="330" t="s">
        <v>30</v>
      </c>
      <c r="C1019" s="331">
        <v>2783188639</v>
      </c>
      <c r="D1019" s="331">
        <v>1512681424</v>
      </c>
      <c r="E1019" s="331">
        <v>34417501</v>
      </c>
      <c r="F1019" s="331">
        <v>26374</v>
      </c>
      <c r="G1019" s="332">
        <f t="shared" si="30"/>
        <v>9.4761812513995385E-6</v>
      </c>
      <c r="H1019" s="331">
        <v>45370</v>
      </c>
      <c r="I1019" s="331">
        <v>0</v>
      </c>
      <c r="J1019" s="331">
        <f t="shared" si="31"/>
        <v>45370</v>
      </c>
      <c r="K1019" s="199">
        <v>2.2799999999999998</v>
      </c>
      <c r="L1019" s="199">
        <v>2.11</v>
      </c>
    </row>
    <row r="1020" spans="1:12" ht="15" customHeight="1" x14ac:dyDescent="0.25">
      <c r="A1020" s="49">
        <v>1990</v>
      </c>
      <c r="B1020" s="330" t="s">
        <v>30</v>
      </c>
      <c r="C1020" s="331">
        <v>2966950323</v>
      </c>
      <c r="D1020" s="331">
        <v>1601643301</v>
      </c>
      <c r="E1020" s="331">
        <v>25905798</v>
      </c>
      <c r="F1020" s="331">
        <v>22970</v>
      </c>
      <c r="G1020" s="332">
        <f t="shared" si="30"/>
        <v>7.7419563859681106E-6</v>
      </c>
      <c r="H1020" s="331">
        <v>53732</v>
      </c>
      <c r="I1020" s="331">
        <v>0</v>
      </c>
      <c r="J1020" s="331">
        <f t="shared" si="31"/>
        <v>53732</v>
      </c>
      <c r="K1020" s="199">
        <v>1.62</v>
      </c>
      <c r="L1020" s="199">
        <v>2.11</v>
      </c>
    </row>
    <row r="1021" spans="1:12" ht="15" customHeight="1" x14ac:dyDescent="0.25">
      <c r="A1021" s="49">
        <v>1991</v>
      </c>
      <c r="B1021" s="330" t="s">
        <v>30</v>
      </c>
      <c r="C1021" s="331">
        <v>3100061017</v>
      </c>
      <c r="D1021" s="331">
        <v>1675277920</v>
      </c>
      <c r="E1021" s="331">
        <v>20250450</v>
      </c>
      <c r="F1021" s="331">
        <v>28364</v>
      </c>
      <c r="G1021" s="332">
        <f t="shared" si="30"/>
        <v>9.1494973306843133E-6</v>
      </c>
      <c r="H1021" s="331">
        <v>50914</v>
      </c>
      <c r="I1021" s="331">
        <v>0</v>
      </c>
      <c r="J1021" s="331">
        <f t="shared" si="31"/>
        <v>50914</v>
      </c>
      <c r="K1021" s="199">
        <v>1.21</v>
      </c>
      <c r="L1021" s="199">
        <v>2.11</v>
      </c>
    </row>
    <row r="1022" spans="1:12" ht="15" customHeight="1" x14ac:dyDescent="0.25">
      <c r="A1022" s="49">
        <v>1992</v>
      </c>
      <c r="B1022" s="330" t="s">
        <v>30</v>
      </c>
      <c r="C1022" s="331">
        <v>3322718104</v>
      </c>
      <c r="D1022" s="331">
        <v>1777077162</v>
      </c>
      <c r="E1022" s="331">
        <v>25904598</v>
      </c>
      <c r="F1022" s="331">
        <v>30216</v>
      </c>
      <c r="G1022" s="332">
        <f t="shared" si="30"/>
        <v>9.0937597034262279E-6</v>
      </c>
      <c r="H1022" s="331">
        <v>50306</v>
      </c>
      <c r="I1022" s="331">
        <v>0</v>
      </c>
      <c r="J1022" s="331">
        <f t="shared" si="31"/>
        <v>50306</v>
      </c>
      <c r="K1022" s="199">
        <v>1.46</v>
      </c>
      <c r="L1022" s="199">
        <v>2.11</v>
      </c>
    </row>
    <row r="1023" spans="1:12" ht="15" customHeight="1" x14ac:dyDescent="0.25">
      <c r="A1023" s="49">
        <v>1993</v>
      </c>
      <c r="B1023" s="330" t="s">
        <v>30</v>
      </c>
      <c r="C1023" s="331">
        <v>3538882641</v>
      </c>
      <c r="D1023" s="331">
        <v>1909276720</v>
      </c>
      <c r="E1023" s="331">
        <v>28202815</v>
      </c>
      <c r="F1023" s="331">
        <v>25497</v>
      </c>
      <c r="G1023" s="332">
        <f t="shared" si="30"/>
        <v>7.2048164877248326E-6</v>
      </c>
      <c r="H1023" s="331">
        <v>56267</v>
      </c>
      <c r="I1023" s="331">
        <v>0</v>
      </c>
      <c r="J1023" s="331">
        <f t="shared" si="31"/>
        <v>56267</v>
      </c>
      <c r="K1023" s="199">
        <v>1.48</v>
      </c>
      <c r="L1023" s="199">
        <v>2.11</v>
      </c>
    </row>
    <row r="1024" spans="1:12" ht="15" customHeight="1" x14ac:dyDescent="0.25">
      <c r="A1024" s="49">
        <v>1994</v>
      </c>
      <c r="B1024" s="330" t="s">
        <v>30</v>
      </c>
      <c r="C1024" s="331">
        <v>3789637558</v>
      </c>
      <c r="D1024" s="331">
        <v>2063855708</v>
      </c>
      <c r="E1024" s="331">
        <v>24674791</v>
      </c>
      <c r="F1024" s="331">
        <v>26805</v>
      </c>
      <c r="G1024" s="332">
        <f t="shared" si="30"/>
        <v>7.0732357883180974E-6</v>
      </c>
      <c r="H1024" s="331">
        <v>58641</v>
      </c>
      <c r="I1024" s="331">
        <v>0</v>
      </c>
      <c r="J1024" s="331">
        <f t="shared" si="31"/>
        <v>58641</v>
      </c>
      <c r="K1024" s="199">
        <v>1.2</v>
      </c>
      <c r="L1024" s="199">
        <v>2.11</v>
      </c>
    </row>
    <row r="1025" spans="1:12" ht="15" customHeight="1" x14ac:dyDescent="0.25">
      <c r="A1025" s="49">
        <v>1995</v>
      </c>
      <c r="B1025" s="330" t="s">
        <v>30</v>
      </c>
      <c r="C1025" s="331">
        <v>4067345123</v>
      </c>
      <c r="D1025" s="331">
        <v>2224920331</v>
      </c>
      <c r="E1025" s="331">
        <v>24622829</v>
      </c>
      <c r="F1025" s="331">
        <v>30354</v>
      </c>
      <c r="G1025" s="332">
        <f t="shared" si="30"/>
        <v>7.4628533065351088E-6</v>
      </c>
      <c r="H1025" s="331">
        <v>57415</v>
      </c>
      <c r="I1025" s="331">
        <v>0</v>
      </c>
      <c r="J1025" s="331">
        <f t="shared" si="31"/>
        <v>57415</v>
      </c>
      <c r="K1025" s="199">
        <v>1.1100000000000001</v>
      </c>
      <c r="L1025" s="199">
        <v>2.11</v>
      </c>
    </row>
    <row r="1026" spans="1:12" ht="15" customHeight="1" x14ac:dyDescent="0.25">
      <c r="A1026" s="49">
        <v>1996</v>
      </c>
      <c r="B1026" s="330" t="s">
        <v>30</v>
      </c>
      <c r="C1026" s="331">
        <v>4358686458</v>
      </c>
      <c r="D1026" s="331">
        <v>2401099113</v>
      </c>
      <c r="E1026" s="331">
        <v>19916597</v>
      </c>
      <c r="F1026" s="331">
        <v>32340</v>
      </c>
      <c r="G1026" s="332">
        <f t="shared" ref="G1026:G1089" si="32">F1026/C1026</f>
        <v>7.419666523762605E-6</v>
      </c>
      <c r="H1026" s="331">
        <v>50072</v>
      </c>
      <c r="I1026" s="331">
        <v>0</v>
      </c>
      <c r="J1026" s="331">
        <f t="shared" ref="J1026:J1089" si="33">H1026-I1026</f>
        <v>50072</v>
      </c>
      <c r="K1026" s="199">
        <v>0.83</v>
      </c>
      <c r="L1026" s="199">
        <v>2.11</v>
      </c>
    </row>
    <row r="1027" spans="1:12" ht="15" customHeight="1" x14ac:dyDescent="0.25">
      <c r="A1027" s="49">
        <v>1997</v>
      </c>
      <c r="B1027" s="330" t="s">
        <v>30</v>
      </c>
      <c r="C1027" s="331">
        <v>4629980934</v>
      </c>
      <c r="D1027" s="331">
        <v>2536767150</v>
      </c>
      <c r="E1027" s="331">
        <v>21467007</v>
      </c>
      <c r="F1027" s="331">
        <v>36109</v>
      </c>
      <c r="G1027" s="332">
        <f t="shared" si="32"/>
        <v>7.7989522019055476E-6</v>
      </c>
      <c r="H1027" s="331">
        <v>38057</v>
      </c>
      <c r="I1027" s="331">
        <v>0</v>
      </c>
      <c r="J1027" s="331">
        <f t="shared" si="33"/>
        <v>38057</v>
      </c>
      <c r="K1027" s="199">
        <v>0.85</v>
      </c>
      <c r="L1027" s="199">
        <v>2.11</v>
      </c>
    </row>
    <row r="1028" spans="1:12" ht="15" customHeight="1" x14ac:dyDescent="0.25">
      <c r="A1028" s="49">
        <v>1998</v>
      </c>
      <c r="B1028" s="330" t="s">
        <v>30</v>
      </c>
      <c r="C1028" s="331">
        <v>4955451434</v>
      </c>
      <c r="D1028" s="331">
        <v>2700797451</v>
      </c>
      <c r="E1028" s="331">
        <v>29284992</v>
      </c>
      <c r="F1028" s="331">
        <v>33247</v>
      </c>
      <c r="G1028" s="332">
        <f t="shared" si="32"/>
        <v>6.7091768414655397E-6</v>
      </c>
      <c r="H1028" s="331">
        <v>35484</v>
      </c>
      <c r="I1028" s="331">
        <v>0</v>
      </c>
      <c r="J1028" s="331">
        <f t="shared" si="33"/>
        <v>35484</v>
      </c>
      <c r="K1028" s="199">
        <v>1.08</v>
      </c>
      <c r="L1028" s="199">
        <v>2.11</v>
      </c>
    </row>
    <row r="1029" spans="1:12" ht="15" customHeight="1" x14ac:dyDescent="0.25">
      <c r="A1029" s="49">
        <v>1999</v>
      </c>
      <c r="B1029" s="330" t="s">
        <v>30</v>
      </c>
      <c r="C1029" s="331">
        <v>5221030341</v>
      </c>
      <c r="D1029" s="331">
        <v>2891091398</v>
      </c>
      <c r="E1029" s="331">
        <v>31761169</v>
      </c>
      <c r="F1029" s="331">
        <v>38249</v>
      </c>
      <c r="G1029" s="332">
        <f t="shared" si="32"/>
        <v>7.3259486158576991E-6</v>
      </c>
      <c r="H1029" s="331">
        <v>31280</v>
      </c>
      <c r="I1029" s="331">
        <v>0</v>
      </c>
      <c r="J1029" s="331">
        <f t="shared" si="33"/>
        <v>31280</v>
      </c>
      <c r="K1029" s="199">
        <v>1.1000000000000001</v>
      </c>
      <c r="L1029" s="199">
        <v>2.11</v>
      </c>
    </row>
    <row r="1030" spans="1:12" ht="15" customHeight="1" x14ac:dyDescent="0.25">
      <c r="A1030" s="49">
        <v>2000</v>
      </c>
      <c r="B1030" s="330" t="s">
        <v>30</v>
      </c>
      <c r="C1030" s="331">
        <v>5476332351</v>
      </c>
      <c r="D1030" s="331">
        <v>3023663636</v>
      </c>
      <c r="E1030" s="331">
        <v>37556939</v>
      </c>
      <c r="F1030" s="331">
        <v>38765</v>
      </c>
      <c r="G1030" s="332">
        <f t="shared" si="32"/>
        <v>7.0786426964976583E-6</v>
      </c>
      <c r="H1030" s="331">
        <v>33053</v>
      </c>
      <c r="I1030" s="331">
        <v>0</v>
      </c>
      <c r="J1030" s="331">
        <f t="shared" si="33"/>
        <v>33053</v>
      </c>
      <c r="K1030" s="199">
        <v>1.24</v>
      </c>
      <c r="L1030" s="199">
        <v>2.11</v>
      </c>
    </row>
    <row r="1031" spans="1:12" ht="15" customHeight="1" x14ac:dyDescent="0.25">
      <c r="A1031" s="49">
        <v>2001</v>
      </c>
      <c r="B1031" s="330" t="s">
        <v>30</v>
      </c>
      <c r="C1031" s="331">
        <v>5682003889</v>
      </c>
      <c r="D1031" s="331">
        <v>3159222254</v>
      </c>
      <c r="E1031" s="331">
        <v>39217885</v>
      </c>
      <c r="F1031" s="331">
        <v>42519</v>
      </c>
      <c r="G1031" s="332">
        <f t="shared" si="32"/>
        <v>7.4830994189064343E-6</v>
      </c>
      <c r="H1031" s="331">
        <v>33388</v>
      </c>
      <c r="I1031" s="331">
        <v>0</v>
      </c>
      <c r="J1031" s="331">
        <f t="shared" si="33"/>
        <v>33388</v>
      </c>
      <c r="K1031" s="199">
        <v>1.24</v>
      </c>
      <c r="L1031" s="199">
        <v>2.11</v>
      </c>
    </row>
    <row r="1032" spans="1:12" ht="15" customHeight="1" x14ac:dyDescent="0.25">
      <c r="A1032" s="49">
        <v>2002</v>
      </c>
      <c r="B1032" s="330" t="s">
        <v>30</v>
      </c>
      <c r="C1032" s="331">
        <v>5794304468</v>
      </c>
      <c r="D1032" s="331">
        <v>3196789376</v>
      </c>
      <c r="E1032" s="331">
        <v>40984931</v>
      </c>
      <c r="F1032" s="331">
        <v>45497</v>
      </c>
      <c r="G1032" s="332">
        <f t="shared" si="32"/>
        <v>7.8520209373298681E-6</v>
      </c>
      <c r="H1032" s="331">
        <v>46157</v>
      </c>
      <c r="I1032" s="331">
        <v>0</v>
      </c>
      <c r="J1032" s="331">
        <f t="shared" si="33"/>
        <v>46157</v>
      </c>
      <c r="K1032" s="199">
        <v>1.28</v>
      </c>
      <c r="L1032" s="199">
        <v>2.11</v>
      </c>
    </row>
    <row r="1033" spans="1:12" ht="15" customHeight="1" x14ac:dyDescent="0.25">
      <c r="A1033" s="49">
        <v>2003</v>
      </c>
      <c r="B1033" s="330" t="s">
        <v>30</v>
      </c>
      <c r="C1033" s="331">
        <v>6074809526</v>
      </c>
      <c r="D1033" s="331">
        <v>3321175424</v>
      </c>
      <c r="E1033" s="331">
        <v>51156443</v>
      </c>
      <c r="F1033" s="331">
        <v>44634</v>
      </c>
      <c r="G1033" s="332">
        <f t="shared" si="32"/>
        <v>7.3473908620456062E-6</v>
      </c>
      <c r="H1033" s="331">
        <v>55455</v>
      </c>
      <c r="I1033" s="331">
        <v>0</v>
      </c>
      <c r="J1033" s="331">
        <f t="shared" si="33"/>
        <v>55455</v>
      </c>
      <c r="K1033" s="199">
        <v>1.54</v>
      </c>
      <c r="L1033" s="199">
        <v>2.11</v>
      </c>
    </row>
    <row r="1034" spans="1:12" ht="15" customHeight="1" x14ac:dyDescent="0.25">
      <c r="A1034" s="49">
        <v>2004</v>
      </c>
      <c r="B1034" s="330" t="s">
        <v>30</v>
      </c>
      <c r="C1034" s="331">
        <v>6564637524</v>
      </c>
      <c r="D1034" s="331">
        <v>3526636440</v>
      </c>
      <c r="E1034" s="331">
        <v>55925940</v>
      </c>
      <c r="F1034" s="331">
        <v>38335</v>
      </c>
      <c r="G1034" s="332">
        <f t="shared" si="32"/>
        <v>5.8396217399436109E-6</v>
      </c>
      <c r="H1034" s="331">
        <v>77058</v>
      </c>
      <c r="I1034" s="331">
        <v>0</v>
      </c>
      <c r="J1034" s="331">
        <f t="shared" si="33"/>
        <v>77058</v>
      </c>
      <c r="K1034" s="199">
        <v>1.59</v>
      </c>
      <c r="L1034" s="199">
        <v>2.11</v>
      </c>
    </row>
    <row r="1035" spans="1:12" ht="15" customHeight="1" x14ac:dyDescent="0.25">
      <c r="A1035" s="49">
        <v>2005</v>
      </c>
      <c r="B1035" s="330" t="s">
        <v>30</v>
      </c>
      <c r="C1035" s="331">
        <v>6955525569</v>
      </c>
      <c r="D1035" s="331">
        <v>3774557199</v>
      </c>
      <c r="E1035" s="331">
        <v>55856775</v>
      </c>
      <c r="F1035" s="331">
        <v>38515</v>
      </c>
      <c r="G1035" s="332">
        <f t="shared" si="32"/>
        <v>5.5373241918133478E-6</v>
      </c>
      <c r="H1035" s="331">
        <v>99507</v>
      </c>
      <c r="I1035" s="331">
        <v>0</v>
      </c>
      <c r="J1035" s="331">
        <f t="shared" si="33"/>
        <v>99507</v>
      </c>
      <c r="K1035" s="199">
        <v>1.48</v>
      </c>
      <c r="L1035" s="199">
        <v>2.11</v>
      </c>
    </row>
    <row r="1036" spans="1:12" ht="15" customHeight="1" x14ac:dyDescent="0.25">
      <c r="A1036" s="49">
        <v>2006</v>
      </c>
      <c r="B1036" s="330" t="s">
        <v>30</v>
      </c>
      <c r="C1036" s="331">
        <v>7492521050</v>
      </c>
      <c r="D1036" s="331">
        <v>4076069651</v>
      </c>
      <c r="E1036" s="331">
        <v>53732370</v>
      </c>
      <c r="F1036" s="331">
        <v>40204</v>
      </c>
      <c r="G1036" s="332">
        <f t="shared" si="32"/>
        <v>5.365884157242374E-6</v>
      </c>
      <c r="H1036" s="331">
        <v>119471</v>
      </c>
      <c r="I1036" s="331">
        <v>0</v>
      </c>
      <c r="J1036" s="331">
        <f t="shared" si="33"/>
        <v>119471</v>
      </c>
      <c r="K1036" s="199">
        <v>1.32</v>
      </c>
      <c r="L1036" s="199">
        <v>2.11</v>
      </c>
    </row>
    <row r="1037" spans="1:12" ht="15" customHeight="1" x14ac:dyDescent="0.25">
      <c r="A1037" s="49">
        <v>2007</v>
      </c>
      <c r="B1037" s="330" t="s">
        <v>30</v>
      </c>
      <c r="C1037" s="331">
        <v>8109043976</v>
      </c>
      <c r="D1037" s="331">
        <v>4396663229</v>
      </c>
      <c r="E1037" s="331">
        <v>50787204</v>
      </c>
      <c r="F1037" s="331">
        <v>43087</v>
      </c>
      <c r="G1037" s="332">
        <f t="shared" si="32"/>
        <v>5.3134500352350781E-6</v>
      </c>
      <c r="H1037" s="331">
        <v>134442</v>
      </c>
      <c r="I1037" s="331">
        <v>0</v>
      </c>
      <c r="J1037" s="331">
        <f t="shared" si="33"/>
        <v>134442</v>
      </c>
      <c r="K1037" s="199">
        <v>1.1599999999999999</v>
      </c>
      <c r="L1037" s="199">
        <v>2.11</v>
      </c>
    </row>
    <row r="1038" spans="1:12" ht="15" customHeight="1" x14ac:dyDescent="0.25">
      <c r="A1038" s="49">
        <v>2008</v>
      </c>
      <c r="B1038" s="330" t="s">
        <v>30</v>
      </c>
      <c r="C1038" s="331">
        <v>8929085064</v>
      </c>
      <c r="D1038" s="331">
        <v>4793723117</v>
      </c>
      <c r="E1038" s="331">
        <v>46313924</v>
      </c>
      <c r="F1038" s="331">
        <v>47326</v>
      </c>
      <c r="G1038" s="332">
        <f t="shared" si="32"/>
        <v>5.3002070940960631E-6</v>
      </c>
      <c r="H1038" s="331">
        <v>139632</v>
      </c>
      <c r="I1038" s="331">
        <v>0</v>
      </c>
      <c r="J1038" s="331">
        <f t="shared" si="33"/>
        <v>139632</v>
      </c>
      <c r="K1038" s="199">
        <v>1</v>
      </c>
      <c r="L1038" s="199">
        <v>2.11</v>
      </c>
    </row>
    <row r="1039" spans="1:12" ht="15" customHeight="1" x14ac:dyDescent="0.25">
      <c r="A1039" s="49">
        <v>2009</v>
      </c>
      <c r="B1039" s="330" t="s">
        <v>30</v>
      </c>
      <c r="C1039" s="331">
        <v>9021746302</v>
      </c>
      <c r="D1039" s="331">
        <v>4986350848</v>
      </c>
      <c r="E1039" s="331">
        <v>51171996</v>
      </c>
      <c r="F1039" s="331">
        <v>96488</v>
      </c>
      <c r="G1039" s="332">
        <f t="shared" si="32"/>
        <v>1.0695046919974896E-5</v>
      </c>
      <c r="H1039" s="331">
        <v>98997</v>
      </c>
      <c r="I1039" s="331">
        <v>0</v>
      </c>
      <c r="J1039" s="331">
        <f t="shared" si="33"/>
        <v>98997</v>
      </c>
      <c r="K1039" s="199">
        <v>1</v>
      </c>
      <c r="L1039" s="199">
        <v>0.96</v>
      </c>
    </row>
    <row r="1040" spans="1:12" ht="15" customHeight="1" x14ac:dyDescent="0.25">
      <c r="A1040" s="49">
        <v>2010</v>
      </c>
      <c r="B1040" s="330" t="s">
        <v>30</v>
      </c>
      <c r="C1040" s="331">
        <v>9908116756</v>
      </c>
      <c r="D1040" s="331">
        <v>5490286657</v>
      </c>
      <c r="E1040" s="331">
        <v>75117810</v>
      </c>
      <c r="F1040" s="331">
        <v>78164</v>
      </c>
      <c r="G1040" s="332">
        <f t="shared" si="32"/>
        <v>7.8888856404186693E-6</v>
      </c>
      <c r="H1040" s="331">
        <v>96326</v>
      </c>
      <c r="I1040" s="331">
        <v>0</v>
      </c>
      <c r="J1040" s="331">
        <f t="shared" si="33"/>
        <v>96326</v>
      </c>
      <c r="K1040" s="199">
        <v>1.4</v>
      </c>
      <c r="L1040" s="199">
        <v>0.96</v>
      </c>
    </row>
    <row r="1041" spans="1:12" ht="15" customHeight="1" x14ac:dyDescent="0.25">
      <c r="A1041" s="49">
        <v>2011</v>
      </c>
      <c r="B1041" s="330" t="s">
        <v>30</v>
      </c>
      <c r="C1041" s="331">
        <v>11860532485</v>
      </c>
      <c r="D1041" s="331">
        <v>6436254302</v>
      </c>
      <c r="E1041" s="331">
        <v>85992210</v>
      </c>
      <c r="F1041" s="331">
        <v>66421</v>
      </c>
      <c r="G1041" s="332">
        <f t="shared" si="32"/>
        <v>5.6001701512139148E-6</v>
      </c>
      <c r="H1041" s="331">
        <v>120210</v>
      </c>
      <c r="I1041" s="331">
        <v>0</v>
      </c>
      <c r="J1041" s="331">
        <f t="shared" si="33"/>
        <v>120210</v>
      </c>
      <c r="K1041" s="199">
        <v>1.3</v>
      </c>
      <c r="L1041" s="199">
        <v>0.96</v>
      </c>
    </row>
    <row r="1042" spans="1:12" ht="15" customHeight="1" x14ac:dyDescent="0.25">
      <c r="A1042" s="49">
        <v>2012</v>
      </c>
      <c r="B1042" s="330" t="s">
        <v>30</v>
      </c>
      <c r="C1042" s="331">
        <v>14642709284</v>
      </c>
      <c r="D1042" s="331">
        <v>7896017375</v>
      </c>
      <c r="E1042" s="331">
        <v>98081654</v>
      </c>
      <c r="F1042" s="331">
        <v>70120</v>
      </c>
      <c r="G1042" s="332">
        <f t="shared" si="32"/>
        <v>4.788731281896015E-6</v>
      </c>
      <c r="H1042" s="331">
        <v>157762</v>
      </c>
      <c r="I1042" s="331">
        <v>0</v>
      </c>
      <c r="J1042" s="331">
        <f t="shared" si="33"/>
        <v>157762</v>
      </c>
      <c r="K1042" s="199">
        <v>1.24</v>
      </c>
      <c r="L1042" s="199">
        <v>0.96</v>
      </c>
    </row>
    <row r="1043" spans="1:12" ht="15" customHeight="1" x14ac:dyDescent="0.25">
      <c r="A1043" s="49">
        <v>2013</v>
      </c>
      <c r="B1043" s="330" t="s">
        <v>30</v>
      </c>
      <c r="C1043" s="331">
        <v>15866094584</v>
      </c>
      <c r="D1043" s="331">
        <v>9134487228</v>
      </c>
      <c r="E1043" s="331">
        <v>103192981</v>
      </c>
      <c r="F1043" s="331">
        <v>99791</v>
      </c>
      <c r="G1043" s="332">
        <f t="shared" si="32"/>
        <v>6.2895755141049777E-6</v>
      </c>
      <c r="H1043" s="331">
        <v>165501</v>
      </c>
      <c r="I1043" s="331">
        <v>0</v>
      </c>
      <c r="J1043" s="331">
        <f t="shared" si="33"/>
        <v>165501</v>
      </c>
      <c r="K1043" s="199">
        <v>1.1299999999999999</v>
      </c>
      <c r="L1043" s="199">
        <v>0.96</v>
      </c>
    </row>
    <row r="1044" spans="1:12" ht="15" customHeight="1" x14ac:dyDescent="0.25">
      <c r="A1044" s="49">
        <v>2014</v>
      </c>
      <c r="B1044" s="330" t="s">
        <v>30</v>
      </c>
      <c r="C1044" s="331">
        <v>17869137025</v>
      </c>
      <c r="D1044" s="331">
        <v>10289685838</v>
      </c>
      <c r="E1044" s="331">
        <v>118914586</v>
      </c>
      <c r="F1044" s="331">
        <v>95036</v>
      </c>
      <c r="G1044" s="332">
        <f t="shared" si="32"/>
        <v>5.3184437428085593E-6</v>
      </c>
      <c r="H1044" s="331">
        <v>193072</v>
      </c>
      <c r="I1044" s="331">
        <v>0</v>
      </c>
      <c r="J1044" s="331">
        <f t="shared" si="33"/>
        <v>193072</v>
      </c>
      <c r="K1044" s="333">
        <v>1.1556678004769225</v>
      </c>
      <c r="L1044" s="199">
        <v>0.96</v>
      </c>
    </row>
    <row r="1045" spans="1:12" ht="15" customHeight="1" x14ac:dyDescent="0.25">
      <c r="A1045" s="49">
        <v>2015</v>
      </c>
      <c r="B1045" s="330" t="s">
        <v>30</v>
      </c>
      <c r="C1045" s="334">
        <v>17074785000</v>
      </c>
      <c r="D1045" s="334">
        <v>10262598000</v>
      </c>
      <c r="E1045" s="334">
        <v>107301000</v>
      </c>
      <c r="F1045" s="331">
        <v>171449</v>
      </c>
      <c r="G1045" s="332">
        <f t="shared" si="32"/>
        <v>1.0041063474591334E-5</v>
      </c>
      <c r="H1045" s="331">
        <v>132881</v>
      </c>
      <c r="I1045" s="199">
        <v>0</v>
      </c>
      <c r="J1045" s="331">
        <f t="shared" si="33"/>
        <v>132881</v>
      </c>
      <c r="K1045" s="199">
        <v>0.9</v>
      </c>
      <c r="L1045" s="199">
        <v>1</v>
      </c>
    </row>
    <row r="1046" spans="1:12" ht="15" customHeight="1" x14ac:dyDescent="0.25">
      <c r="A1046" s="49">
        <v>1980</v>
      </c>
      <c r="B1046" s="330" t="s">
        <v>31</v>
      </c>
      <c r="C1046" s="331">
        <v>5606353614</v>
      </c>
      <c r="D1046" s="331">
        <v>2575979322</v>
      </c>
      <c r="E1046" s="331">
        <v>34247397</v>
      </c>
      <c r="F1046" s="331">
        <v>43823</v>
      </c>
      <c r="G1046" s="332">
        <f t="shared" si="32"/>
        <v>7.8166671275544702E-6</v>
      </c>
      <c r="H1046" s="331">
        <v>81691</v>
      </c>
      <c r="I1046" s="331">
        <v>0</v>
      </c>
      <c r="J1046" s="331">
        <f t="shared" si="33"/>
        <v>81691</v>
      </c>
      <c r="K1046" s="199">
        <v>1.33</v>
      </c>
      <c r="L1046" s="199">
        <v>1.1299999999999999</v>
      </c>
    </row>
    <row r="1047" spans="1:12" ht="15" customHeight="1" x14ac:dyDescent="0.25">
      <c r="A1047" s="49">
        <v>1981</v>
      </c>
      <c r="B1047" s="330" t="s">
        <v>31</v>
      </c>
      <c r="C1047" s="331">
        <v>5994742364</v>
      </c>
      <c r="D1047" s="331">
        <v>2621455807</v>
      </c>
      <c r="E1047" s="331">
        <v>41234965</v>
      </c>
      <c r="F1047" s="331">
        <v>44297</v>
      </c>
      <c r="G1047" s="332">
        <f t="shared" si="32"/>
        <v>7.3893083822943091E-6</v>
      </c>
      <c r="H1047" s="331">
        <v>95093</v>
      </c>
      <c r="I1047" s="331">
        <v>0</v>
      </c>
      <c r="J1047" s="331">
        <f t="shared" si="33"/>
        <v>95093</v>
      </c>
      <c r="K1047" s="199">
        <v>1.57</v>
      </c>
      <c r="L1047" s="199">
        <v>1.1000000000000001</v>
      </c>
    </row>
    <row r="1048" spans="1:12" ht="15" customHeight="1" x14ac:dyDescent="0.25">
      <c r="A1048" s="49">
        <v>1982</v>
      </c>
      <c r="B1048" s="330" t="s">
        <v>31</v>
      </c>
      <c r="C1048" s="331">
        <v>6145331968</v>
      </c>
      <c r="D1048" s="331">
        <v>2573369899</v>
      </c>
      <c r="E1048" s="331">
        <v>31783793</v>
      </c>
      <c r="F1048" s="331">
        <v>65415</v>
      </c>
      <c r="G1048" s="332">
        <f t="shared" si="32"/>
        <v>1.0644664981587534E-5</v>
      </c>
      <c r="H1048" s="331">
        <v>71531</v>
      </c>
      <c r="I1048" s="331">
        <v>0</v>
      </c>
      <c r="J1048" s="331">
        <f t="shared" si="33"/>
        <v>71531</v>
      </c>
      <c r="K1048" s="199">
        <v>1.24</v>
      </c>
      <c r="L1048" s="199">
        <v>1.18</v>
      </c>
    </row>
    <row r="1049" spans="1:12" ht="15" customHeight="1" x14ac:dyDescent="0.25">
      <c r="A1049" s="49">
        <v>1983</v>
      </c>
      <c r="B1049" s="330" t="s">
        <v>31</v>
      </c>
      <c r="C1049" s="331">
        <v>6393413672</v>
      </c>
      <c r="D1049" s="331">
        <v>2864054670</v>
      </c>
      <c r="E1049" s="331">
        <v>47693333</v>
      </c>
      <c r="F1049" s="331">
        <v>62471</v>
      </c>
      <c r="G1049" s="332">
        <f t="shared" si="32"/>
        <v>9.7711493741742661E-6</v>
      </c>
      <c r="H1049" s="331">
        <v>61891</v>
      </c>
      <c r="I1049" s="331">
        <v>0</v>
      </c>
      <c r="J1049" s="331">
        <f t="shared" si="33"/>
        <v>61891</v>
      </c>
      <c r="K1049" s="199">
        <v>1.67</v>
      </c>
      <c r="L1049" s="199">
        <v>1.2</v>
      </c>
    </row>
    <row r="1050" spans="1:12" ht="15" customHeight="1" x14ac:dyDescent="0.25">
      <c r="A1050" s="49">
        <v>1984</v>
      </c>
      <c r="B1050" s="330" t="s">
        <v>31</v>
      </c>
      <c r="C1050" s="331">
        <v>6925430815</v>
      </c>
      <c r="D1050" s="331">
        <v>3065814491</v>
      </c>
      <c r="E1050" s="331">
        <v>53573956</v>
      </c>
      <c r="F1050" s="331">
        <v>47630</v>
      </c>
      <c r="G1050" s="332">
        <f t="shared" si="32"/>
        <v>6.8775504762587105E-6</v>
      </c>
      <c r="H1050" s="331">
        <v>75780</v>
      </c>
      <c r="I1050" s="331">
        <v>0</v>
      </c>
      <c r="J1050" s="331">
        <f t="shared" si="33"/>
        <v>75780</v>
      </c>
      <c r="K1050" s="199">
        <v>1.75</v>
      </c>
      <c r="L1050" s="199">
        <v>1.2</v>
      </c>
    </row>
    <row r="1051" spans="1:12" x14ac:dyDescent="0.25">
      <c r="A1051" s="49">
        <v>1985</v>
      </c>
      <c r="B1051" s="330" t="s">
        <v>31</v>
      </c>
      <c r="C1051" s="331">
        <v>7317930740</v>
      </c>
      <c r="D1051" s="331">
        <v>3170428545</v>
      </c>
      <c r="E1051" s="331">
        <v>47543439</v>
      </c>
      <c r="F1051" s="331">
        <v>61228</v>
      </c>
      <c r="G1051" s="332">
        <f t="shared" si="32"/>
        <v>8.3668460628256772E-6</v>
      </c>
      <c r="H1051" s="331">
        <v>70670</v>
      </c>
      <c r="I1051" s="331">
        <v>0</v>
      </c>
      <c r="J1051" s="331">
        <f t="shared" si="33"/>
        <v>70670</v>
      </c>
      <c r="K1051" s="199">
        <v>1.5</v>
      </c>
      <c r="L1051" s="199">
        <v>1.2</v>
      </c>
    </row>
    <row r="1052" spans="1:12" ht="15" customHeight="1" x14ac:dyDescent="0.25">
      <c r="A1052" s="49">
        <v>1986</v>
      </c>
      <c r="B1052" s="330" t="s">
        <v>31</v>
      </c>
      <c r="C1052" s="331">
        <v>7568266552</v>
      </c>
      <c r="D1052" s="331">
        <v>3189214842</v>
      </c>
      <c r="E1052" s="331">
        <v>60639567</v>
      </c>
      <c r="F1052" s="331">
        <v>59569</v>
      </c>
      <c r="G1052" s="332">
        <f t="shared" si="32"/>
        <v>7.8708908560122288E-6</v>
      </c>
      <c r="H1052" s="331">
        <v>78030</v>
      </c>
      <c r="I1052" s="331">
        <v>0</v>
      </c>
      <c r="J1052" s="331">
        <f t="shared" si="33"/>
        <v>78030</v>
      </c>
      <c r="K1052" s="199">
        <v>1.9</v>
      </c>
      <c r="L1052" s="199">
        <v>1.2</v>
      </c>
    </row>
    <row r="1053" spans="1:12" ht="15" customHeight="1" x14ac:dyDescent="0.25">
      <c r="A1053" s="49">
        <v>1987</v>
      </c>
      <c r="B1053" s="330" t="s">
        <v>31</v>
      </c>
      <c r="C1053" s="331">
        <v>7981956714</v>
      </c>
      <c r="D1053" s="331">
        <v>3290835940</v>
      </c>
      <c r="E1053" s="331">
        <v>45536930</v>
      </c>
      <c r="F1053" s="331">
        <v>47569</v>
      </c>
      <c r="G1053" s="332">
        <f t="shared" si="32"/>
        <v>5.9595662698303125E-6</v>
      </c>
      <c r="H1053" s="331">
        <v>86959</v>
      </c>
      <c r="I1053" s="331">
        <v>0</v>
      </c>
      <c r="J1053" s="331">
        <f t="shared" si="33"/>
        <v>86959</v>
      </c>
      <c r="K1053" s="199">
        <v>1.38</v>
      </c>
      <c r="L1053" s="199">
        <v>1.2</v>
      </c>
    </row>
    <row r="1054" spans="1:12" ht="15" customHeight="1" x14ac:dyDescent="0.25">
      <c r="A1054" s="49">
        <v>1988</v>
      </c>
      <c r="B1054" s="330" t="s">
        <v>31</v>
      </c>
      <c r="C1054" s="331">
        <v>8649765137</v>
      </c>
      <c r="D1054" s="331">
        <v>3440516524</v>
      </c>
      <c r="E1054" s="331">
        <v>49190318</v>
      </c>
      <c r="F1054" s="331">
        <v>40123</v>
      </c>
      <c r="G1054" s="332">
        <f t="shared" si="32"/>
        <v>4.6386230567545638E-6</v>
      </c>
      <c r="H1054" s="331">
        <v>104841</v>
      </c>
      <c r="I1054" s="331">
        <v>0</v>
      </c>
      <c r="J1054" s="331">
        <f t="shared" si="33"/>
        <v>104841</v>
      </c>
      <c r="K1054" s="199">
        <v>1.43</v>
      </c>
      <c r="L1054" s="199">
        <v>1.2</v>
      </c>
    </row>
    <row r="1055" spans="1:12" ht="15" customHeight="1" x14ac:dyDescent="0.25">
      <c r="A1055" s="49">
        <v>1989</v>
      </c>
      <c r="B1055" s="330" t="s">
        <v>31</v>
      </c>
      <c r="C1055" s="331">
        <v>9154774298</v>
      </c>
      <c r="D1055" s="331">
        <v>3597436419</v>
      </c>
      <c r="E1055" s="331">
        <v>44387419</v>
      </c>
      <c r="F1055" s="331">
        <v>35332</v>
      </c>
      <c r="G1055" s="332">
        <f t="shared" si="32"/>
        <v>3.8594069990036578E-6</v>
      </c>
      <c r="H1055" s="331">
        <v>126692</v>
      </c>
      <c r="I1055" s="331">
        <v>0</v>
      </c>
      <c r="J1055" s="331">
        <f t="shared" si="33"/>
        <v>126692</v>
      </c>
      <c r="K1055" s="199">
        <v>1.23</v>
      </c>
      <c r="L1055" s="199">
        <v>1.2</v>
      </c>
    </row>
    <row r="1056" spans="1:12" ht="15" customHeight="1" x14ac:dyDescent="0.25">
      <c r="A1056" s="49">
        <v>1990</v>
      </c>
      <c r="B1056" s="330" t="s">
        <v>31</v>
      </c>
      <c r="C1056" s="331">
        <v>9839476652</v>
      </c>
      <c r="D1056" s="331">
        <v>3736914906</v>
      </c>
      <c r="E1056" s="331">
        <v>36915697</v>
      </c>
      <c r="F1056" s="331">
        <v>34134</v>
      </c>
      <c r="G1056" s="332">
        <f t="shared" si="32"/>
        <v>3.469086945092941E-6</v>
      </c>
      <c r="H1056" s="331">
        <v>145164</v>
      </c>
      <c r="I1056" s="331">
        <v>0</v>
      </c>
      <c r="J1056" s="331">
        <f t="shared" si="33"/>
        <v>145164</v>
      </c>
      <c r="K1056" s="199">
        <v>0.99</v>
      </c>
      <c r="L1056" s="199">
        <v>1.2</v>
      </c>
    </row>
    <row r="1057" spans="1:12" ht="15" customHeight="1" x14ac:dyDescent="0.25">
      <c r="A1057" s="49">
        <v>1991</v>
      </c>
      <c r="B1057" s="330" t="s">
        <v>31</v>
      </c>
      <c r="C1057" s="331">
        <v>10260462897</v>
      </c>
      <c r="D1057" s="331">
        <v>3820091668</v>
      </c>
      <c r="E1057" s="331">
        <v>34042754</v>
      </c>
      <c r="F1057" s="331">
        <v>46100</v>
      </c>
      <c r="G1057" s="332">
        <f t="shared" si="32"/>
        <v>4.4929746798732564E-6</v>
      </c>
      <c r="H1057" s="331">
        <v>146184</v>
      </c>
      <c r="I1057" s="331">
        <v>0</v>
      </c>
      <c r="J1057" s="331">
        <f t="shared" si="33"/>
        <v>146184</v>
      </c>
      <c r="K1057" s="199">
        <v>0.89</v>
      </c>
      <c r="L1057" s="199">
        <v>1.2</v>
      </c>
    </row>
    <row r="1058" spans="1:12" ht="15" customHeight="1" x14ac:dyDescent="0.25">
      <c r="A1058" s="49">
        <v>1992</v>
      </c>
      <c r="B1058" s="330" t="s">
        <v>31</v>
      </c>
      <c r="C1058" s="331">
        <v>11012159279</v>
      </c>
      <c r="D1058" s="331">
        <v>3919594603</v>
      </c>
      <c r="E1058" s="331">
        <v>50229406</v>
      </c>
      <c r="F1058" s="331">
        <v>48569</v>
      </c>
      <c r="G1058" s="332">
        <f t="shared" si="32"/>
        <v>4.4104883310778344E-6</v>
      </c>
      <c r="H1058" s="331">
        <v>160713</v>
      </c>
      <c r="I1058" s="331">
        <v>0</v>
      </c>
      <c r="J1058" s="331">
        <f t="shared" si="33"/>
        <v>160713</v>
      </c>
      <c r="K1058" s="199">
        <v>1.28</v>
      </c>
      <c r="L1058" s="199">
        <v>1.2</v>
      </c>
    </row>
    <row r="1059" spans="1:12" ht="15" customHeight="1" x14ac:dyDescent="0.25">
      <c r="A1059" s="49">
        <v>1993</v>
      </c>
      <c r="B1059" s="330" t="s">
        <v>31</v>
      </c>
      <c r="C1059" s="331">
        <v>11564525690</v>
      </c>
      <c r="D1059" s="331">
        <v>4072042698</v>
      </c>
      <c r="E1059" s="331">
        <v>44940573</v>
      </c>
      <c r="F1059" s="331">
        <v>45252</v>
      </c>
      <c r="G1059" s="332">
        <f t="shared" si="32"/>
        <v>3.9130009490255198E-6</v>
      </c>
      <c r="H1059" s="331">
        <v>171938</v>
      </c>
      <c r="I1059" s="331">
        <v>0</v>
      </c>
      <c r="J1059" s="331">
        <f t="shared" si="33"/>
        <v>171938</v>
      </c>
      <c r="K1059" s="199">
        <v>1.1000000000000001</v>
      </c>
      <c r="L1059" s="199">
        <v>1.2</v>
      </c>
    </row>
    <row r="1060" spans="1:12" ht="15" customHeight="1" x14ac:dyDescent="0.25">
      <c r="A1060" s="49">
        <v>1994</v>
      </c>
      <c r="B1060" s="330" t="s">
        <v>31</v>
      </c>
      <c r="C1060" s="331">
        <v>12475358677</v>
      </c>
      <c r="D1060" s="331">
        <v>4331021507</v>
      </c>
      <c r="E1060" s="331">
        <v>38911371</v>
      </c>
      <c r="F1060" s="331">
        <v>39759</v>
      </c>
      <c r="G1060" s="332">
        <f t="shared" si="32"/>
        <v>3.1870025567522204E-6</v>
      </c>
      <c r="H1060" s="331">
        <v>188365</v>
      </c>
      <c r="I1060" s="331">
        <v>0</v>
      </c>
      <c r="J1060" s="331">
        <f t="shared" si="33"/>
        <v>188365</v>
      </c>
      <c r="K1060" s="199">
        <v>0.9</v>
      </c>
      <c r="L1060" s="199">
        <v>1.2</v>
      </c>
    </row>
    <row r="1061" spans="1:12" ht="15" customHeight="1" x14ac:dyDescent="0.25">
      <c r="A1061" s="49">
        <v>1995</v>
      </c>
      <c r="B1061" s="330" t="s">
        <v>31</v>
      </c>
      <c r="C1061" s="331">
        <v>13443234130</v>
      </c>
      <c r="D1061" s="331">
        <v>4539043418</v>
      </c>
      <c r="E1061" s="331">
        <v>36095522</v>
      </c>
      <c r="F1061" s="331">
        <v>44288</v>
      </c>
      <c r="G1061" s="332">
        <f t="shared" si="32"/>
        <v>3.2944453374628533E-6</v>
      </c>
      <c r="H1061" s="331">
        <v>194283</v>
      </c>
      <c r="I1061" s="331">
        <v>0</v>
      </c>
      <c r="J1061" s="331">
        <f t="shared" si="33"/>
        <v>194283</v>
      </c>
      <c r="K1061" s="199">
        <v>0.8</v>
      </c>
      <c r="L1061" s="199">
        <v>0.99</v>
      </c>
    </row>
    <row r="1062" spans="1:12" ht="15" customHeight="1" x14ac:dyDescent="0.25">
      <c r="A1062" s="49">
        <v>1996</v>
      </c>
      <c r="B1062" s="330" t="s">
        <v>31</v>
      </c>
      <c r="C1062" s="331">
        <v>14393327584</v>
      </c>
      <c r="D1062" s="331">
        <v>4687805382</v>
      </c>
      <c r="E1062" s="331">
        <v>43301910</v>
      </c>
      <c r="F1062" s="331">
        <v>50677</v>
      </c>
      <c r="G1062" s="332">
        <f t="shared" si="32"/>
        <v>3.520867548122359E-6</v>
      </c>
      <c r="H1062" s="331">
        <v>195210</v>
      </c>
      <c r="I1062" s="331">
        <v>0</v>
      </c>
      <c r="J1062" s="331">
        <f t="shared" si="33"/>
        <v>195210</v>
      </c>
      <c r="K1062" s="199">
        <v>0.92</v>
      </c>
      <c r="L1062" s="199">
        <v>0.96</v>
      </c>
    </row>
    <row r="1063" spans="1:12" ht="15" customHeight="1" x14ac:dyDescent="0.25">
      <c r="A1063" s="49">
        <v>1997</v>
      </c>
      <c r="B1063" s="330" t="s">
        <v>31</v>
      </c>
      <c r="C1063" s="331">
        <v>15595329512</v>
      </c>
      <c r="D1063" s="331">
        <v>4871324975</v>
      </c>
      <c r="E1063" s="331">
        <v>53396714</v>
      </c>
      <c r="F1063" s="331">
        <v>47406</v>
      </c>
      <c r="G1063" s="332">
        <f t="shared" si="32"/>
        <v>3.0397562272424528E-6</v>
      </c>
      <c r="H1063" s="331">
        <v>205727</v>
      </c>
      <c r="I1063" s="331">
        <v>0</v>
      </c>
      <c r="J1063" s="331">
        <f t="shared" si="33"/>
        <v>205727</v>
      </c>
      <c r="K1063" s="199">
        <v>1.1000000000000001</v>
      </c>
      <c r="L1063" s="199">
        <v>0.96</v>
      </c>
    </row>
    <row r="1064" spans="1:12" ht="15" customHeight="1" x14ac:dyDescent="0.25">
      <c r="A1064" s="49">
        <v>1998</v>
      </c>
      <c r="B1064" s="330" t="s">
        <v>31</v>
      </c>
      <c r="C1064" s="331">
        <v>16707475736</v>
      </c>
      <c r="D1064" s="331">
        <v>5148079083</v>
      </c>
      <c r="E1064" s="331">
        <v>23877438</v>
      </c>
      <c r="F1064" s="331">
        <v>41841</v>
      </c>
      <c r="G1064" s="332">
        <f t="shared" si="32"/>
        <v>2.5043280421975528E-6</v>
      </c>
      <c r="H1064" s="331">
        <v>198068</v>
      </c>
      <c r="I1064" s="331">
        <v>0</v>
      </c>
      <c r="J1064" s="331">
        <f t="shared" si="33"/>
        <v>198068</v>
      </c>
      <c r="K1064" s="199">
        <v>0.46</v>
      </c>
      <c r="L1064" s="199">
        <v>0.96</v>
      </c>
    </row>
    <row r="1065" spans="1:12" ht="15" customHeight="1" x14ac:dyDescent="0.25">
      <c r="A1065" s="49">
        <v>1999</v>
      </c>
      <c r="B1065" s="330" t="s">
        <v>31</v>
      </c>
      <c r="C1065" s="331">
        <v>17904440275</v>
      </c>
      <c r="D1065" s="331">
        <v>5347489732</v>
      </c>
      <c r="E1065" s="331">
        <v>32262065</v>
      </c>
      <c r="F1065" s="331">
        <v>51371</v>
      </c>
      <c r="G1065" s="332">
        <f t="shared" si="32"/>
        <v>2.8691765400636071E-6</v>
      </c>
      <c r="H1065" s="331">
        <v>184718</v>
      </c>
      <c r="I1065" s="331">
        <v>0</v>
      </c>
      <c r="J1065" s="331">
        <f t="shared" si="33"/>
        <v>184718</v>
      </c>
      <c r="K1065" s="199">
        <v>0.6</v>
      </c>
      <c r="L1065" s="199">
        <v>0.96</v>
      </c>
    </row>
    <row r="1066" spans="1:12" ht="15" customHeight="1" x14ac:dyDescent="0.25">
      <c r="A1066" s="49">
        <v>2000</v>
      </c>
      <c r="B1066" s="330" t="s">
        <v>31</v>
      </c>
      <c r="C1066" s="331">
        <v>18853175857</v>
      </c>
      <c r="D1066" s="331">
        <v>5435130776</v>
      </c>
      <c r="E1066" s="331">
        <v>43002621</v>
      </c>
      <c r="F1066" s="331">
        <v>55650</v>
      </c>
      <c r="G1066" s="332">
        <f t="shared" si="32"/>
        <v>2.9517573284257942E-6</v>
      </c>
      <c r="H1066" s="331">
        <v>179177</v>
      </c>
      <c r="I1066" s="331">
        <v>0</v>
      </c>
      <c r="J1066" s="331">
        <f t="shared" si="33"/>
        <v>179177</v>
      </c>
      <c r="K1066" s="199">
        <v>0.79</v>
      </c>
      <c r="L1066" s="199">
        <v>0.96</v>
      </c>
    </row>
    <row r="1067" spans="1:12" ht="15" customHeight="1" x14ac:dyDescent="0.25">
      <c r="A1067" s="49">
        <v>2001</v>
      </c>
      <c r="B1067" s="330" t="s">
        <v>31</v>
      </c>
      <c r="C1067" s="331">
        <v>19107750548</v>
      </c>
      <c r="D1067" s="331">
        <v>5395721147</v>
      </c>
      <c r="E1067" s="331">
        <v>54029492</v>
      </c>
      <c r="F1067" s="331">
        <v>89993</v>
      </c>
      <c r="G1067" s="332">
        <f t="shared" si="32"/>
        <v>4.7097642275542231E-6</v>
      </c>
      <c r="H1067" s="331">
        <v>144070</v>
      </c>
      <c r="I1067" s="331">
        <v>0</v>
      </c>
      <c r="J1067" s="331">
        <f t="shared" si="33"/>
        <v>144070</v>
      </c>
      <c r="K1067" s="199">
        <v>1</v>
      </c>
      <c r="L1067" s="199">
        <v>0.96</v>
      </c>
    </row>
    <row r="1068" spans="1:12" ht="15" customHeight="1" x14ac:dyDescent="0.25">
      <c r="A1068" s="49">
        <v>2002</v>
      </c>
      <c r="B1068" s="330" t="s">
        <v>31</v>
      </c>
      <c r="C1068" s="331">
        <v>19412215228</v>
      </c>
      <c r="D1068" s="331">
        <v>5284190768</v>
      </c>
      <c r="E1068" s="331">
        <v>68019680</v>
      </c>
      <c r="F1068" s="331">
        <v>116385</v>
      </c>
      <c r="G1068" s="332">
        <f t="shared" si="32"/>
        <v>5.9954517623587521E-6</v>
      </c>
      <c r="H1068" s="331">
        <v>152945</v>
      </c>
      <c r="I1068" s="331">
        <v>0</v>
      </c>
      <c r="J1068" s="331">
        <f t="shared" si="33"/>
        <v>152945</v>
      </c>
      <c r="K1068" s="199">
        <v>1.29</v>
      </c>
      <c r="L1068" s="199">
        <v>0.96</v>
      </c>
    </row>
    <row r="1069" spans="1:12" ht="15" customHeight="1" x14ac:dyDescent="0.25">
      <c r="A1069" s="49">
        <v>2003</v>
      </c>
      <c r="B1069" s="330" t="s">
        <v>31</v>
      </c>
      <c r="C1069" s="331">
        <v>19993429899</v>
      </c>
      <c r="D1069" s="331">
        <v>5280985517</v>
      </c>
      <c r="E1069" s="331">
        <v>90201825</v>
      </c>
      <c r="F1069" s="331">
        <v>127352</v>
      </c>
      <c r="G1069" s="332">
        <f t="shared" si="32"/>
        <v>6.3696924761453606E-6</v>
      </c>
      <c r="H1069" s="331">
        <v>142036</v>
      </c>
      <c r="I1069" s="331">
        <v>0</v>
      </c>
      <c r="J1069" s="331">
        <f t="shared" si="33"/>
        <v>142036</v>
      </c>
      <c r="K1069" s="199">
        <v>1.71</v>
      </c>
      <c r="L1069" s="199">
        <v>0.96</v>
      </c>
    </row>
    <row r="1070" spans="1:12" ht="15" customHeight="1" x14ac:dyDescent="0.25">
      <c r="A1070" s="49">
        <v>2004</v>
      </c>
      <c r="B1070" s="330" t="s">
        <v>31</v>
      </c>
      <c r="C1070" s="331">
        <v>20902191927</v>
      </c>
      <c r="D1070" s="331">
        <v>5375961400</v>
      </c>
      <c r="E1070" s="331">
        <v>94672701</v>
      </c>
      <c r="F1070" s="331">
        <v>118968</v>
      </c>
      <c r="G1070" s="332">
        <f t="shared" si="32"/>
        <v>5.691651881079773E-6</v>
      </c>
      <c r="H1070" s="331">
        <v>131784</v>
      </c>
      <c r="I1070" s="331">
        <v>0</v>
      </c>
      <c r="J1070" s="331">
        <f t="shared" si="33"/>
        <v>131784</v>
      </c>
      <c r="K1070" s="199">
        <v>1.76</v>
      </c>
      <c r="L1070" s="199">
        <v>0.96</v>
      </c>
    </row>
    <row r="1071" spans="1:12" ht="15" customHeight="1" x14ac:dyDescent="0.25">
      <c r="A1071" s="49">
        <v>2005</v>
      </c>
      <c r="B1071" s="330" t="s">
        <v>31</v>
      </c>
      <c r="C1071" s="331">
        <v>21798446396</v>
      </c>
      <c r="D1071" s="331">
        <v>5459368830</v>
      </c>
      <c r="E1071" s="331">
        <v>133683392</v>
      </c>
      <c r="F1071" s="331">
        <v>107886</v>
      </c>
      <c r="G1071" s="332">
        <f t="shared" si="32"/>
        <v>4.9492517971279373E-6</v>
      </c>
      <c r="H1071" s="331">
        <v>162079</v>
      </c>
      <c r="I1071" s="331">
        <v>0</v>
      </c>
      <c r="J1071" s="331">
        <f t="shared" si="33"/>
        <v>162079</v>
      </c>
      <c r="K1071" s="199">
        <v>2.4500000000000002</v>
      </c>
      <c r="L1071" s="199">
        <v>0.96</v>
      </c>
    </row>
    <row r="1072" spans="1:12" ht="15" customHeight="1" x14ac:dyDescent="0.25">
      <c r="A1072" s="49">
        <v>2006</v>
      </c>
      <c r="B1072" s="330" t="s">
        <v>31</v>
      </c>
      <c r="C1072" s="331">
        <v>23008838082</v>
      </c>
      <c r="D1072" s="331">
        <v>6177908478</v>
      </c>
      <c r="E1072" s="331">
        <v>156268185</v>
      </c>
      <c r="F1072" s="331">
        <v>85486</v>
      </c>
      <c r="G1072" s="332">
        <f t="shared" si="32"/>
        <v>3.7153549299334844E-6</v>
      </c>
      <c r="H1072" s="331">
        <v>233698</v>
      </c>
      <c r="I1072" s="331">
        <v>0</v>
      </c>
      <c r="J1072" s="331">
        <f t="shared" si="33"/>
        <v>233698</v>
      </c>
      <c r="K1072" s="199">
        <v>2.5299999999999998</v>
      </c>
      <c r="L1072" s="199">
        <v>0.96</v>
      </c>
    </row>
    <row r="1073" spans="1:12" ht="15" customHeight="1" x14ac:dyDescent="0.25">
      <c r="A1073" s="49">
        <v>2007</v>
      </c>
      <c r="B1073" s="330" t="s">
        <v>31</v>
      </c>
      <c r="C1073" s="331">
        <v>24441774855</v>
      </c>
      <c r="D1073" s="331">
        <v>6964773637</v>
      </c>
      <c r="E1073" s="331">
        <v>114796789</v>
      </c>
      <c r="F1073" s="331">
        <v>86165</v>
      </c>
      <c r="G1073" s="332">
        <f t="shared" si="32"/>
        <v>3.5253168197142369E-6</v>
      </c>
      <c r="H1073" s="331">
        <v>278865</v>
      </c>
      <c r="I1073" s="331">
        <v>0</v>
      </c>
      <c r="J1073" s="331">
        <f t="shared" si="33"/>
        <v>278865</v>
      </c>
      <c r="K1073" s="199">
        <v>1.65</v>
      </c>
      <c r="L1073" s="199">
        <v>0.96</v>
      </c>
    </row>
    <row r="1074" spans="1:12" ht="15" customHeight="1" x14ac:dyDescent="0.25">
      <c r="A1074" s="49">
        <v>2008</v>
      </c>
      <c r="B1074" s="330" t="s">
        <v>31</v>
      </c>
      <c r="C1074" s="331">
        <v>25129998909</v>
      </c>
      <c r="D1074" s="331">
        <v>6988245010</v>
      </c>
      <c r="E1074" s="331">
        <v>96403385</v>
      </c>
      <c r="F1074" s="331">
        <v>101326</v>
      </c>
      <c r="G1074" s="332">
        <f t="shared" si="32"/>
        <v>4.0320733943092743E-6</v>
      </c>
      <c r="H1074" s="331">
        <v>280971</v>
      </c>
      <c r="I1074" s="331">
        <v>0</v>
      </c>
      <c r="J1074" s="331">
        <f t="shared" si="33"/>
        <v>280971</v>
      </c>
      <c r="K1074" s="199">
        <v>1.4</v>
      </c>
      <c r="L1074" s="199">
        <v>0.96</v>
      </c>
    </row>
    <row r="1075" spans="1:12" ht="15" customHeight="1" x14ac:dyDescent="0.25">
      <c r="A1075" s="49">
        <v>2009</v>
      </c>
      <c r="B1075" s="330" t="s">
        <v>31</v>
      </c>
      <c r="C1075" s="331">
        <v>24342271832</v>
      </c>
      <c r="D1075" s="331">
        <v>6602434135</v>
      </c>
      <c r="E1075" s="331">
        <v>88370060</v>
      </c>
      <c r="F1075" s="331">
        <v>207450</v>
      </c>
      <c r="G1075" s="332">
        <f t="shared" si="32"/>
        <v>8.5222119542387662E-6</v>
      </c>
      <c r="H1075" s="331">
        <v>167832</v>
      </c>
      <c r="I1075" s="331">
        <v>0</v>
      </c>
      <c r="J1075" s="331">
        <f t="shared" si="33"/>
        <v>167832</v>
      </c>
      <c r="K1075" s="199">
        <v>1.3</v>
      </c>
      <c r="L1075" s="199">
        <v>0.7</v>
      </c>
    </row>
    <row r="1076" spans="1:12" ht="15" customHeight="1" x14ac:dyDescent="0.25">
      <c r="A1076" s="49">
        <v>2010</v>
      </c>
      <c r="B1076" s="330" t="s">
        <v>31</v>
      </c>
      <c r="C1076" s="331">
        <v>24495985111</v>
      </c>
      <c r="D1076" s="331">
        <v>6623549908</v>
      </c>
      <c r="E1076" s="331">
        <v>208696257</v>
      </c>
      <c r="F1076" s="331">
        <v>187711</v>
      </c>
      <c r="G1076" s="332">
        <f t="shared" si="32"/>
        <v>7.6629292167436763E-6</v>
      </c>
      <c r="H1076" s="331">
        <v>215340</v>
      </c>
      <c r="I1076" s="331">
        <v>0</v>
      </c>
      <c r="J1076" s="331">
        <f t="shared" si="33"/>
        <v>215340</v>
      </c>
      <c r="K1076" s="199">
        <v>3.2</v>
      </c>
      <c r="L1076" s="199">
        <v>0.75</v>
      </c>
    </row>
    <row r="1077" spans="1:12" ht="15" customHeight="1" x14ac:dyDescent="0.25">
      <c r="A1077" s="49">
        <v>2011</v>
      </c>
      <c r="B1077" s="330" t="s">
        <v>31</v>
      </c>
      <c r="C1077" s="331">
        <v>25337406768</v>
      </c>
      <c r="D1077" s="331">
        <v>6752731154</v>
      </c>
      <c r="E1077" s="331">
        <v>213000390</v>
      </c>
      <c r="F1077" s="331">
        <v>160453</v>
      </c>
      <c r="G1077" s="332">
        <f t="shared" si="32"/>
        <v>6.3326528033896855E-6</v>
      </c>
      <c r="H1077" s="331">
        <v>275750</v>
      </c>
      <c r="I1077" s="331">
        <v>0</v>
      </c>
      <c r="J1077" s="331">
        <f t="shared" si="33"/>
        <v>275750</v>
      </c>
      <c r="K1077" s="199">
        <v>3.2</v>
      </c>
      <c r="L1077" s="199">
        <v>0.75</v>
      </c>
    </row>
    <row r="1078" spans="1:12" ht="15" customHeight="1" x14ac:dyDescent="0.25">
      <c r="A1078" s="49">
        <v>2012</v>
      </c>
      <c r="B1078" s="330" t="s">
        <v>31</v>
      </c>
      <c r="C1078" s="331">
        <v>26763665953</v>
      </c>
      <c r="D1078" s="331">
        <v>6995245005</v>
      </c>
      <c r="E1078" s="331">
        <v>168740807</v>
      </c>
      <c r="F1078" s="331">
        <v>126468</v>
      </c>
      <c r="G1078" s="332">
        <f t="shared" si="32"/>
        <v>4.725361623556803E-6</v>
      </c>
      <c r="H1078" s="331">
        <v>332529</v>
      </c>
      <c r="I1078" s="331">
        <v>0</v>
      </c>
      <c r="J1078" s="331">
        <f t="shared" si="33"/>
        <v>332529</v>
      </c>
      <c r="K1078" s="199">
        <v>2.41</v>
      </c>
      <c r="L1078" s="199">
        <v>0.75</v>
      </c>
    </row>
    <row r="1079" spans="1:12" ht="15" customHeight="1" x14ac:dyDescent="0.25">
      <c r="A1079" s="49">
        <v>2013</v>
      </c>
      <c r="B1079" s="330" t="s">
        <v>31</v>
      </c>
      <c r="C1079" s="331">
        <v>27640326472</v>
      </c>
      <c r="D1079" s="331">
        <v>7157328418</v>
      </c>
      <c r="E1079" s="331">
        <v>120834570</v>
      </c>
      <c r="F1079" s="331">
        <v>105341</v>
      </c>
      <c r="G1079" s="332">
        <f t="shared" si="32"/>
        <v>3.8111344345629118E-6</v>
      </c>
      <c r="H1079" s="331">
        <v>358777</v>
      </c>
      <c r="I1079" s="331">
        <v>0</v>
      </c>
      <c r="J1079" s="331">
        <f t="shared" si="33"/>
        <v>358777</v>
      </c>
      <c r="K1079" s="199">
        <v>1.69</v>
      </c>
      <c r="L1079" s="199">
        <v>0.75</v>
      </c>
    </row>
    <row r="1080" spans="1:12" ht="15" customHeight="1" x14ac:dyDescent="0.25">
      <c r="A1080" s="49">
        <v>2014</v>
      </c>
      <c r="B1080" s="330" t="s">
        <v>31</v>
      </c>
      <c r="C1080" s="331">
        <v>29070553785</v>
      </c>
      <c r="D1080" s="331">
        <v>7378183809</v>
      </c>
      <c r="E1080" s="331">
        <v>106484082</v>
      </c>
      <c r="F1080" s="331">
        <v>92820</v>
      </c>
      <c r="G1080" s="332">
        <f t="shared" si="32"/>
        <v>3.1929216308185301E-6</v>
      </c>
      <c r="H1080" s="331">
        <v>363728</v>
      </c>
      <c r="I1080" s="331">
        <v>0</v>
      </c>
      <c r="J1080" s="331">
        <f t="shared" si="33"/>
        <v>363728</v>
      </c>
      <c r="K1080" s="333">
        <v>1.4432289131928293</v>
      </c>
      <c r="L1080" s="199">
        <v>0.75</v>
      </c>
    </row>
    <row r="1081" spans="1:12" ht="15" customHeight="1" x14ac:dyDescent="0.25">
      <c r="A1081" s="49">
        <v>2015</v>
      </c>
      <c r="B1081" s="330" t="s">
        <v>31</v>
      </c>
      <c r="C1081" s="334">
        <v>30680100000</v>
      </c>
      <c r="D1081" s="334">
        <v>7596349000</v>
      </c>
      <c r="E1081" s="334">
        <v>99476000</v>
      </c>
      <c r="F1081" s="331">
        <v>80685</v>
      </c>
      <c r="G1081" s="332">
        <f t="shared" si="32"/>
        <v>2.6298806066473057E-6</v>
      </c>
      <c r="H1081" s="331">
        <v>390813</v>
      </c>
      <c r="I1081" s="199">
        <v>0</v>
      </c>
      <c r="J1081" s="331">
        <f t="shared" si="33"/>
        <v>390813</v>
      </c>
      <c r="K1081" s="199">
        <v>1.3</v>
      </c>
      <c r="L1081" s="199">
        <v>0.75</v>
      </c>
    </row>
    <row r="1082" spans="1:12" ht="15" customHeight="1" x14ac:dyDescent="0.25">
      <c r="A1082" s="49">
        <v>1980</v>
      </c>
      <c r="B1082" s="330" t="s">
        <v>32</v>
      </c>
      <c r="C1082" s="331">
        <v>3745843107</v>
      </c>
      <c r="D1082" s="331">
        <v>1816628292</v>
      </c>
      <c r="E1082" s="331">
        <v>23474664</v>
      </c>
      <c r="F1082" s="331">
        <v>30240</v>
      </c>
      <c r="G1082" s="332">
        <f t="shared" si="32"/>
        <v>8.0729489026086965E-6</v>
      </c>
      <c r="H1082" s="331">
        <v>83944</v>
      </c>
      <c r="I1082" s="331">
        <v>0</v>
      </c>
      <c r="J1082" s="331">
        <f t="shared" si="33"/>
        <v>83944</v>
      </c>
      <c r="K1082" s="199">
        <v>1.29</v>
      </c>
      <c r="L1082" s="199">
        <v>1.7</v>
      </c>
    </row>
    <row r="1083" spans="1:12" ht="15" customHeight="1" x14ac:dyDescent="0.25">
      <c r="A1083" s="49">
        <v>1981</v>
      </c>
      <c r="B1083" s="330" t="s">
        <v>32</v>
      </c>
      <c r="C1083" s="331">
        <v>4177971195</v>
      </c>
      <c r="D1083" s="331">
        <v>1899961660</v>
      </c>
      <c r="E1083" s="331">
        <v>25837953</v>
      </c>
      <c r="F1083" s="331">
        <v>30436</v>
      </c>
      <c r="G1083" s="332">
        <f t="shared" si="32"/>
        <v>7.2848755004401124E-6</v>
      </c>
      <c r="H1083" s="331">
        <v>86057</v>
      </c>
      <c r="I1083" s="331">
        <v>0</v>
      </c>
      <c r="J1083" s="331">
        <f t="shared" si="33"/>
        <v>86057</v>
      </c>
      <c r="K1083" s="199">
        <v>1.36</v>
      </c>
      <c r="L1083" s="199">
        <v>1.62</v>
      </c>
    </row>
    <row r="1084" spans="1:12" ht="15" customHeight="1" x14ac:dyDescent="0.25">
      <c r="A1084" s="49">
        <v>1982</v>
      </c>
      <c r="B1084" s="330" t="s">
        <v>32</v>
      </c>
      <c r="C1084" s="331">
        <v>4556073334</v>
      </c>
      <c r="D1084" s="331">
        <v>1928914850</v>
      </c>
      <c r="E1084" s="331">
        <v>26431442</v>
      </c>
      <c r="F1084" s="331">
        <v>46031</v>
      </c>
      <c r="G1084" s="332">
        <f t="shared" si="32"/>
        <v>1.0103217535260155E-5</v>
      </c>
      <c r="H1084" s="331">
        <v>74817</v>
      </c>
      <c r="I1084" s="331">
        <v>0</v>
      </c>
      <c r="J1084" s="331">
        <f t="shared" si="33"/>
        <v>74817</v>
      </c>
      <c r="K1084" s="199">
        <v>1.37</v>
      </c>
      <c r="L1084" s="199">
        <v>1.62</v>
      </c>
    </row>
    <row r="1085" spans="1:12" ht="15" customHeight="1" x14ac:dyDescent="0.25">
      <c r="A1085" s="49">
        <v>1983</v>
      </c>
      <c r="B1085" s="330" t="s">
        <v>32</v>
      </c>
      <c r="C1085" s="331">
        <v>5059554731</v>
      </c>
      <c r="D1085" s="331">
        <v>2279078271</v>
      </c>
      <c r="E1085" s="331">
        <v>38302095</v>
      </c>
      <c r="F1085" s="331">
        <v>40607</v>
      </c>
      <c r="G1085" s="332">
        <f t="shared" si="32"/>
        <v>8.0258050676277973E-6</v>
      </c>
      <c r="H1085" s="331">
        <v>75615</v>
      </c>
      <c r="I1085" s="331">
        <v>0</v>
      </c>
      <c r="J1085" s="331">
        <f t="shared" si="33"/>
        <v>75615</v>
      </c>
      <c r="K1085" s="199">
        <v>1.68</v>
      </c>
      <c r="L1085" s="199">
        <v>1.57</v>
      </c>
    </row>
    <row r="1086" spans="1:12" x14ac:dyDescent="0.25">
      <c r="A1086" s="49">
        <v>1984</v>
      </c>
      <c r="B1086" s="330" t="s">
        <v>32</v>
      </c>
      <c r="C1086" s="331">
        <v>5720422692</v>
      </c>
      <c r="D1086" s="331">
        <v>2555349802</v>
      </c>
      <c r="E1086" s="331">
        <v>40078718</v>
      </c>
      <c r="F1086" s="331">
        <v>30930</v>
      </c>
      <c r="G1086" s="332">
        <f t="shared" si="32"/>
        <v>5.4069430993719301E-6</v>
      </c>
      <c r="H1086" s="331">
        <v>94280</v>
      </c>
      <c r="I1086" s="331">
        <v>0</v>
      </c>
      <c r="J1086" s="331">
        <f t="shared" si="33"/>
        <v>94280</v>
      </c>
      <c r="K1086" s="199">
        <v>1.57</v>
      </c>
      <c r="L1086" s="199">
        <v>1.57</v>
      </c>
    </row>
    <row r="1087" spans="1:12" ht="15" customHeight="1" x14ac:dyDescent="0.25">
      <c r="A1087" s="49">
        <v>1985</v>
      </c>
      <c r="B1087" s="330" t="s">
        <v>32</v>
      </c>
      <c r="C1087" s="331">
        <v>6466305809</v>
      </c>
      <c r="D1087" s="331">
        <v>2724662127</v>
      </c>
      <c r="E1087" s="331">
        <v>35862142</v>
      </c>
      <c r="F1087" s="331">
        <v>20155</v>
      </c>
      <c r="G1087" s="332">
        <f t="shared" si="32"/>
        <v>3.1169265103341791E-6</v>
      </c>
      <c r="H1087" s="331">
        <v>121104</v>
      </c>
      <c r="I1087" s="331">
        <v>0</v>
      </c>
      <c r="J1087" s="331">
        <f t="shared" si="33"/>
        <v>121104</v>
      </c>
      <c r="K1087" s="199">
        <v>1.32</v>
      </c>
      <c r="L1087" s="199">
        <v>1.57</v>
      </c>
    </row>
    <row r="1088" spans="1:12" ht="15" customHeight="1" x14ac:dyDescent="0.25">
      <c r="A1088" s="49">
        <v>1986</v>
      </c>
      <c r="B1088" s="330" t="s">
        <v>32</v>
      </c>
      <c r="C1088" s="331">
        <v>7292074315</v>
      </c>
      <c r="D1088" s="331">
        <v>2977166287</v>
      </c>
      <c r="E1088" s="331">
        <v>24373684</v>
      </c>
      <c r="F1088" s="331">
        <v>18231</v>
      </c>
      <c r="G1088" s="332">
        <f t="shared" si="32"/>
        <v>2.5001116571862586E-6</v>
      </c>
      <c r="H1088" s="331">
        <v>142184</v>
      </c>
      <c r="I1088" s="331">
        <v>0</v>
      </c>
      <c r="J1088" s="331">
        <f t="shared" si="33"/>
        <v>142184</v>
      </c>
      <c r="K1088" s="199">
        <v>0.82</v>
      </c>
      <c r="L1088" s="199">
        <v>1.57</v>
      </c>
    </row>
    <row r="1089" spans="1:12" ht="15" customHeight="1" x14ac:dyDescent="0.25">
      <c r="A1089" s="49">
        <v>1987</v>
      </c>
      <c r="B1089" s="330" t="s">
        <v>32</v>
      </c>
      <c r="C1089" s="331">
        <v>8133207680</v>
      </c>
      <c r="D1089" s="331">
        <v>3165021888</v>
      </c>
      <c r="E1089" s="331">
        <v>24492172</v>
      </c>
      <c r="F1089" s="331">
        <v>15367</v>
      </c>
      <c r="G1089" s="332">
        <f t="shared" si="32"/>
        <v>1.8894144358059722E-6</v>
      </c>
      <c r="H1089" s="331">
        <v>164622</v>
      </c>
      <c r="I1089" s="331">
        <v>0</v>
      </c>
      <c r="J1089" s="331">
        <f t="shared" si="33"/>
        <v>164622</v>
      </c>
      <c r="K1089" s="199">
        <v>0.77</v>
      </c>
      <c r="L1089" s="199">
        <v>1.57</v>
      </c>
    </row>
    <row r="1090" spans="1:12" ht="15" customHeight="1" x14ac:dyDescent="0.25">
      <c r="A1090" s="49">
        <v>1988</v>
      </c>
      <c r="B1090" s="330" t="s">
        <v>32</v>
      </c>
      <c r="C1090" s="331">
        <v>8941105606</v>
      </c>
      <c r="D1090" s="331">
        <v>3280949974</v>
      </c>
      <c r="E1090" s="331">
        <v>25504815</v>
      </c>
      <c r="F1090" s="331">
        <v>14233</v>
      </c>
      <c r="G1090" s="332">
        <f t="shared" ref="G1090:G1153" si="34">F1090/C1090</f>
        <v>1.5918613007376663E-6</v>
      </c>
      <c r="H1090" s="331">
        <v>191477</v>
      </c>
      <c r="I1090" s="331">
        <v>0</v>
      </c>
      <c r="J1090" s="331">
        <f t="shared" ref="J1090:J1153" si="35">H1090-I1090</f>
        <v>191477</v>
      </c>
      <c r="K1090" s="199">
        <v>0.78</v>
      </c>
      <c r="L1090" s="199">
        <v>1.57</v>
      </c>
    </row>
    <row r="1091" spans="1:12" ht="15" customHeight="1" x14ac:dyDescent="0.25">
      <c r="A1091" s="49">
        <v>1989</v>
      </c>
      <c r="B1091" s="330" t="s">
        <v>32</v>
      </c>
      <c r="C1091" s="331">
        <v>9138938674</v>
      </c>
      <c r="D1091" s="331">
        <v>3213706869</v>
      </c>
      <c r="E1091" s="331">
        <v>24061055</v>
      </c>
      <c r="F1091" s="331">
        <v>29378</v>
      </c>
      <c r="G1091" s="332">
        <f t="shared" si="34"/>
        <v>3.2145964698920137E-6</v>
      </c>
      <c r="H1091" s="331">
        <v>203990</v>
      </c>
      <c r="I1091" s="331">
        <v>0</v>
      </c>
      <c r="J1091" s="331">
        <f t="shared" si="35"/>
        <v>203990</v>
      </c>
      <c r="K1091" s="199">
        <v>0.75</v>
      </c>
      <c r="L1091" s="199">
        <v>1.57</v>
      </c>
    </row>
    <row r="1092" spans="1:12" ht="15" customHeight="1" x14ac:dyDescent="0.25">
      <c r="A1092" s="49">
        <v>1990</v>
      </c>
      <c r="B1092" s="330" t="s">
        <v>32</v>
      </c>
      <c r="C1092" s="331">
        <v>9017366920</v>
      </c>
      <c r="D1092" s="331">
        <v>2984831007</v>
      </c>
      <c r="E1092" s="331">
        <v>22102264</v>
      </c>
      <c r="F1092" s="331">
        <v>63665</v>
      </c>
      <c r="G1092" s="332">
        <f t="shared" si="34"/>
        <v>7.060264993630757E-6</v>
      </c>
      <c r="H1092" s="331">
        <v>179782</v>
      </c>
      <c r="I1092" s="331">
        <v>0</v>
      </c>
      <c r="J1092" s="331">
        <f t="shared" si="35"/>
        <v>179782</v>
      </c>
      <c r="K1092" s="199">
        <v>0.74</v>
      </c>
      <c r="L1092" s="199">
        <v>1.57</v>
      </c>
    </row>
    <row r="1093" spans="1:12" ht="15" customHeight="1" x14ac:dyDescent="0.25">
      <c r="A1093" s="49">
        <v>1991</v>
      </c>
      <c r="B1093" s="330" t="s">
        <v>32</v>
      </c>
      <c r="C1093" s="331">
        <v>8793028188</v>
      </c>
      <c r="D1093" s="331">
        <v>2666062599</v>
      </c>
      <c r="E1093" s="331">
        <v>24151265</v>
      </c>
      <c r="F1093" s="331">
        <v>87338</v>
      </c>
      <c r="G1093" s="332">
        <f t="shared" si="34"/>
        <v>9.9326418763437728E-6</v>
      </c>
      <c r="H1093" s="331">
        <v>127995</v>
      </c>
      <c r="I1093" s="331">
        <v>0</v>
      </c>
      <c r="J1093" s="331">
        <f t="shared" si="35"/>
        <v>127995</v>
      </c>
      <c r="K1093" s="199">
        <v>0.91</v>
      </c>
      <c r="L1093" s="199">
        <v>1.53</v>
      </c>
    </row>
    <row r="1094" spans="1:12" ht="15" customHeight="1" x14ac:dyDescent="0.25">
      <c r="A1094" s="49">
        <v>1992</v>
      </c>
      <c r="B1094" s="330" t="s">
        <v>32</v>
      </c>
      <c r="C1094" s="331">
        <v>9369754984</v>
      </c>
      <c r="D1094" s="331">
        <v>2835198369</v>
      </c>
      <c r="E1094" s="331">
        <v>56181650</v>
      </c>
      <c r="F1094" s="331">
        <v>61934</v>
      </c>
      <c r="G1094" s="332">
        <f t="shared" si="34"/>
        <v>6.6099914144777382E-6</v>
      </c>
      <c r="H1094" s="331">
        <v>129582</v>
      </c>
      <c r="I1094" s="331">
        <v>0</v>
      </c>
      <c r="J1094" s="331">
        <f t="shared" si="35"/>
        <v>129582</v>
      </c>
      <c r="K1094" s="199">
        <v>1.98</v>
      </c>
      <c r="L1094" s="199">
        <v>1.53</v>
      </c>
    </row>
    <row r="1095" spans="1:12" ht="15" customHeight="1" x14ac:dyDescent="0.25">
      <c r="A1095" s="49">
        <v>1993</v>
      </c>
      <c r="B1095" s="330" t="s">
        <v>32</v>
      </c>
      <c r="C1095" s="331">
        <v>9628435197</v>
      </c>
      <c r="D1095" s="331">
        <v>2912527174</v>
      </c>
      <c r="E1095" s="331">
        <v>66970888</v>
      </c>
      <c r="F1095" s="331">
        <v>42319</v>
      </c>
      <c r="G1095" s="332">
        <f t="shared" si="34"/>
        <v>4.3952105543781018E-6</v>
      </c>
      <c r="H1095" s="331">
        <v>164455</v>
      </c>
      <c r="I1095" s="331">
        <v>0</v>
      </c>
      <c r="J1095" s="331">
        <f t="shared" si="35"/>
        <v>164455</v>
      </c>
      <c r="K1095" s="199">
        <v>2.2999999999999998</v>
      </c>
      <c r="L1095" s="199">
        <v>1.53</v>
      </c>
    </row>
    <row r="1096" spans="1:12" ht="15" customHeight="1" x14ac:dyDescent="0.25">
      <c r="A1096" s="49">
        <v>1994</v>
      </c>
      <c r="B1096" s="330" t="s">
        <v>32</v>
      </c>
      <c r="C1096" s="331">
        <v>10282289377</v>
      </c>
      <c r="D1096" s="331">
        <v>3390673355</v>
      </c>
      <c r="E1096" s="331">
        <v>73860979</v>
      </c>
      <c r="F1096" s="331">
        <v>41243</v>
      </c>
      <c r="G1096" s="332">
        <f t="shared" si="34"/>
        <v>4.0110717066818455E-6</v>
      </c>
      <c r="H1096" s="331">
        <v>211580</v>
      </c>
      <c r="I1096" s="331">
        <v>0</v>
      </c>
      <c r="J1096" s="331">
        <f t="shared" si="35"/>
        <v>211580</v>
      </c>
      <c r="K1096" s="199">
        <v>2.1800000000000002</v>
      </c>
      <c r="L1096" s="199">
        <v>1.53</v>
      </c>
    </row>
    <row r="1097" spans="1:12" ht="15" customHeight="1" x14ac:dyDescent="0.25">
      <c r="A1097" s="49">
        <v>1995</v>
      </c>
      <c r="B1097" s="330" t="s">
        <v>32</v>
      </c>
      <c r="C1097" s="331">
        <v>11185739857</v>
      </c>
      <c r="D1097" s="331">
        <v>3519604938</v>
      </c>
      <c r="E1097" s="331">
        <v>53871416</v>
      </c>
      <c r="F1097" s="331">
        <v>34984</v>
      </c>
      <c r="G1097" s="332">
        <f t="shared" si="34"/>
        <v>3.1275535143173499E-6</v>
      </c>
      <c r="H1097" s="331">
        <v>250884</v>
      </c>
      <c r="I1097" s="331">
        <v>0</v>
      </c>
      <c r="J1097" s="331">
        <f t="shared" si="35"/>
        <v>250884</v>
      </c>
      <c r="K1097" s="199">
        <v>1.53</v>
      </c>
      <c r="L1097" s="199">
        <v>1.02</v>
      </c>
    </row>
    <row r="1098" spans="1:12" ht="15" customHeight="1" x14ac:dyDescent="0.25">
      <c r="A1098" s="49">
        <v>1996</v>
      </c>
      <c r="B1098" s="330" t="s">
        <v>32</v>
      </c>
      <c r="C1098" s="331">
        <v>12016194151</v>
      </c>
      <c r="D1098" s="331">
        <v>3695958065</v>
      </c>
      <c r="E1098" s="331">
        <v>37354067</v>
      </c>
      <c r="F1098" s="331">
        <v>39192</v>
      </c>
      <c r="G1098" s="332">
        <f t="shared" si="34"/>
        <v>3.2615984318744054E-6</v>
      </c>
      <c r="H1098" s="331">
        <v>268011</v>
      </c>
      <c r="I1098" s="331">
        <v>0</v>
      </c>
      <c r="J1098" s="331">
        <f t="shared" si="35"/>
        <v>268011</v>
      </c>
      <c r="K1098" s="199">
        <v>1.01</v>
      </c>
      <c r="L1098" s="199">
        <v>0.94</v>
      </c>
    </row>
    <row r="1099" spans="1:12" ht="15" customHeight="1" x14ac:dyDescent="0.25">
      <c r="A1099" s="49">
        <v>1997</v>
      </c>
      <c r="B1099" s="330" t="s">
        <v>32</v>
      </c>
      <c r="C1099" s="331">
        <v>13202961932</v>
      </c>
      <c r="D1099" s="331">
        <v>3902203492</v>
      </c>
      <c r="E1099" s="331">
        <v>26120533</v>
      </c>
      <c r="F1099" s="331">
        <v>31641</v>
      </c>
      <c r="G1099" s="332">
        <f t="shared" si="34"/>
        <v>2.3965077050863679E-6</v>
      </c>
      <c r="H1099" s="331">
        <v>278296</v>
      </c>
      <c r="I1099" s="331">
        <v>0</v>
      </c>
      <c r="J1099" s="331">
        <f t="shared" si="35"/>
        <v>278296</v>
      </c>
      <c r="K1099" s="199">
        <v>0.67</v>
      </c>
      <c r="L1099" s="199">
        <v>0.94</v>
      </c>
    </row>
    <row r="1100" spans="1:12" ht="15" customHeight="1" x14ac:dyDescent="0.25">
      <c r="A1100" s="49">
        <v>1998</v>
      </c>
      <c r="B1100" s="330" t="s">
        <v>32</v>
      </c>
      <c r="C1100" s="331">
        <v>14531849051</v>
      </c>
      <c r="D1100" s="331">
        <v>4120338461</v>
      </c>
      <c r="E1100" s="331">
        <v>28630342</v>
      </c>
      <c r="F1100" s="331">
        <v>23690</v>
      </c>
      <c r="G1100" s="332">
        <f t="shared" si="34"/>
        <v>1.6302123643632114E-6</v>
      </c>
      <c r="H1100" s="331">
        <v>292105</v>
      </c>
      <c r="I1100" s="331">
        <v>0</v>
      </c>
      <c r="J1100" s="331">
        <f t="shared" si="35"/>
        <v>292105</v>
      </c>
      <c r="K1100" s="199">
        <v>0.69</v>
      </c>
      <c r="L1100" s="199">
        <v>0.94</v>
      </c>
    </row>
    <row r="1101" spans="1:12" ht="15" customHeight="1" x14ac:dyDescent="0.25">
      <c r="A1101" s="49">
        <v>1999</v>
      </c>
      <c r="B1101" s="330" t="s">
        <v>32</v>
      </c>
      <c r="C1101" s="331">
        <v>15554688756</v>
      </c>
      <c r="D1101" s="331">
        <v>4270521619</v>
      </c>
      <c r="E1101" s="331">
        <v>31462145</v>
      </c>
      <c r="F1101" s="331">
        <v>33869</v>
      </c>
      <c r="G1101" s="332">
        <f t="shared" si="34"/>
        <v>2.1774141888204297E-6</v>
      </c>
      <c r="H1101" s="331">
        <v>306757</v>
      </c>
      <c r="I1101" s="331">
        <v>0</v>
      </c>
      <c r="J1101" s="331">
        <f t="shared" si="35"/>
        <v>306757</v>
      </c>
      <c r="K1101" s="199">
        <v>0.74</v>
      </c>
      <c r="L1101" s="199">
        <v>0.94</v>
      </c>
    </row>
    <row r="1102" spans="1:12" ht="15" customHeight="1" x14ac:dyDescent="0.25">
      <c r="A1102" s="49">
        <v>2000</v>
      </c>
      <c r="B1102" s="330" t="s">
        <v>32</v>
      </c>
      <c r="C1102" s="331">
        <v>17367280265</v>
      </c>
      <c r="D1102" s="331">
        <v>4491524845</v>
      </c>
      <c r="E1102" s="331">
        <v>34685505</v>
      </c>
      <c r="F1102" s="331">
        <v>29928</v>
      </c>
      <c r="G1102" s="332">
        <f t="shared" si="34"/>
        <v>1.723240458110958E-6</v>
      </c>
      <c r="H1102" s="331">
        <v>328233</v>
      </c>
      <c r="I1102" s="331">
        <v>0</v>
      </c>
      <c r="J1102" s="331">
        <f t="shared" si="35"/>
        <v>328233</v>
      </c>
      <c r="K1102" s="199">
        <v>0.77</v>
      </c>
      <c r="L1102" s="199">
        <v>0.94</v>
      </c>
    </row>
    <row r="1103" spans="1:12" ht="15" customHeight="1" x14ac:dyDescent="0.25">
      <c r="A1103" s="49">
        <v>2001</v>
      </c>
      <c r="B1103" s="330" t="s">
        <v>32</v>
      </c>
      <c r="C1103" s="331">
        <v>17644711554</v>
      </c>
      <c r="D1103" s="331">
        <v>4493866119</v>
      </c>
      <c r="E1103" s="331">
        <v>35373317</v>
      </c>
      <c r="F1103" s="331">
        <v>64965</v>
      </c>
      <c r="G1103" s="332">
        <f t="shared" si="34"/>
        <v>3.6818397286450763E-6</v>
      </c>
      <c r="H1103" s="331">
        <v>317010</v>
      </c>
      <c r="I1103" s="331">
        <v>0</v>
      </c>
      <c r="J1103" s="331">
        <f t="shared" si="35"/>
        <v>317010</v>
      </c>
      <c r="K1103" s="199">
        <v>0.79</v>
      </c>
      <c r="L1103" s="199">
        <v>0.93</v>
      </c>
    </row>
    <row r="1104" spans="1:12" ht="15" customHeight="1" x14ac:dyDescent="0.25">
      <c r="A1104" s="49">
        <v>2002</v>
      </c>
      <c r="B1104" s="330" t="s">
        <v>32</v>
      </c>
      <c r="C1104" s="331">
        <v>17380168657</v>
      </c>
      <c r="D1104" s="331">
        <v>4343767044</v>
      </c>
      <c r="E1104" s="331">
        <v>34498406</v>
      </c>
      <c r="F1104" s="331">
        <v>113619</v>
      </c>
      <c r="G1104" s="332">
        <f t="shared" si="34"/>
        <v>6.5372783338462631E-6</v>
      </c>
      <c r="H1104" s="331">
        <v>289472</v>
      </c>
      <c r="I1104" s="331">
        <v>0</v>
      </c>
      <c r="J1104" s="331">
        <f t="shared" si="35"/>
        <v>289472</v>
      </c>
      <c r="K1104" s="199">
        <v>0.79</v>
      </c>
      <c r="L1104" s="199">
        <v>0.93</v>
      </c>
    </row>
    <row r="1105" spans="1:12" ht="15" customHeight="1" x14ac:dyDescent="0.25">
      <c r="A1105" s="49">
        <v>2003</v>
      </c>
      <c r="B1105" s="330" t="s">
        <v>32</v>
      </c>
      <c r="C1105" s="331">
        <v>17774026472</v>
      </c>
      <c r="D1105" s="331">
        <v>4295734552</v>
      </c>
      <c r="E1105" s="331">
        <v>44813880</v>
      </c>
      <c r="F1105" s="331">
        <v>112358</v>
      </c>
      <c r="G1105" s="332">
        <f t="shared" si="34"/>
        <v>6.3214713996854458E-6</v>
      </c>
      <c r="H1105" s="331">
        <v>226460</v>
      </c>
      <c r="I1105" s="331">
        <v>0</v>
      </c>
      <c r="J1105" s="331">
        <f t="shared" si="35"/>
        <v>226460</v>
      </c>
      <c r="K1105" s="199">
        <v>1.04</v>
      </c>
      <c r="L1105" s="199">
        <v>0.93</v>
      </c>
    </row>
    <row r="1106" spans="1:12" ht="15" customHeight="1" x14ac:dyDescent="0.25">
      <c r="A1106" s="49">
        <v>2004</v>
      </c>
      <c r="B1106" s="330" t="s">
        <v>32</v>
      </c>
      <c r="C1106" s="331">
        <v>19004528670</v>
      </c>
      <c r="D1106" s="331">
        <v>4420094313</v>
      </c>
      <c r="E1106" s="331">
        <v>84935227</v>
      </c>
      <c r="F1106" s="331">
        <v>79395</v>
      </c>
      <c r="G1106" s="332">
        <f t="shared" si="34"/>
        <v>4.1776884540857177E-6</v>
      </c>
      <c r="H1106" s="331">
        <v>242709</v>
      </c>
      <c r="I1106" s="331">
        <v>0</v>
      </c>
      <c r="J1106" s="331">
        <f t="shared" si="35"/>
        <v>242709</v>
      </c>
      <c r="K1106" s="199">
        <v>1.92</v>
      </c>
      <c r="L1106" s="199">
        <v>0.93</v>
      </c>
    </row>
    <row r="1107" spans="1:12" ht="15" customHeight="1" x14ac:dyDescent="0.25">
      <c r="A1107" s="49">
        <v>2005</v>
      </c>
      <c r="B1107" s="330" t="s">
        <v>32</v>
      </c>
      <c r="C1107" s="331">
        <v>19900691792</v>
      </c>
      <c r="D1107" s="331">
        <v>4484819743</v>
      </c>
      <c r="E1107" s="331">
        <v>80255378</v>
      </c>
      <c r="F1107" s="331">
        <v>71005</v>
      </c>
      <c r="G1107" s="332">
        <f t="shared" si="34"/>
        <v>3.5679664175565862E-6</v>
      </c>
      <c r="H1107" s="331">
        <v>264688</v>
      </c>
      <c r="I1107" s="331">
        <v>0</v>
      </c>
      <c r="J1107" s="331">
        <f t="shared" si="35"/>
        <v>264688</v>
      </c>
      <c r="K1107" s="199">
        <v>1.79</v>
      </c>
      <c r="L1107" s="199">
        <v>0.93</v>
      </c>
    </row>
    <row r="1108" spans="1:12" ht="15" customHeight="1" x14ac:dyDescent="0.25">
      <c r="A1108" s="49">
        <v>2006</v>
      </c>
      <c r="B1108" s="330" t="s">
        <v>32</v>
      </c>
      <c r="C1108" s="331">
        <v>21042056842</v>
      </c>
      <c r="D1108" s="331">
        <v>4531229302</v>
      </c>
      <c r="E1108" s="331">
        <v>65720226</v>
      </c>
      <c r="F1108" s="331">
        <v>73970</v>
      </c>
      <c r="G1108" s="332">
        <f t="shared" si="34"/>
        <v>3.5153407556791542E-6</v>
      </c>
      <c r="H1108" s="331">
        <v>265249</v>
      </c>
      <c r="I1108" s="331">
        <v>0</v>
      </c>
      <c r="J1108" s="331">
        <f t="shared" si="35"/>
        <v>265249</v>
      </c>
      <c r="K1108" s="199">
        <v>1.45</v>
      </c>
      <c r="L1108" s="199">
        <v>0.93</v>
      </c>
    </row>
    <row r="1109" spans="1:12" ht="15" customHeight="1" x14ac:dyDescent="0.25">
      <c r="A1109" s="49">
        <v>2007</v>
      </c>
      <c r="B1109" s="330" t="s">
        <v>32</v>
      </c>
      <c r="C1109" s="331">
        <v>21634316521</v>
      </c>
      <c r="D1109" s="331">
        <v>4537217626</v>
      </c>
      <c r="E1109" s="331">
        <v>56523674</v>
      </c>
      <c r="F1109" s="331">
        <v>85158</v>
      </c>
      <c r="G1109" s="332">
        <f t="shared" si="34"/>
        <v>3.9362463758602601E-6</v>
      </c>
      <c r="H1109" s="331">
        <v>240422</v>
      </c>
      <c r="I1109" s="331">
        <v>0</v>
      </c>
      <c r="J1109" s="331">
        <f t="shared" si="35"/>
        <v>240422</v>
      </c>
      <c r="K1109" s="199">
        <v>1.25</v>
      </c>
      <c r="L1109" s="199">
        <v>0.93</v>
      </c>
    </row>
    <row r="1110" spans="1:12" ht="15" customHeight="1" x14ac:dyDescent="0.25">
      <c r="A1110" s="49">
        <v>2008</v>
      </c>
      <c r="B1110" s="330" t="s">
        <v>32</v>
      </c>
      <c r="C1110" s="331">
        <v>21843459992</v>
      </c>
      <c r="D1110" s="331">
        <v>4471662513</v>
      </c>
      <c r="E1110" s="331">
        <v>55013313</v>
      </c>
      <c r="F1110" s="331">
        <v>118453</v>
      </c>
      <c r="G1110" s="332">
        <f t="shared" si="34"/>
        <v>5.4228130544969755E-6</v>
      </c>
      <c r="H1110" s="331">
        <v>152422</v>
      </c>
      <c r="I1110" s="331">
        <v>0</v>
      </c>
      <c r="J1110" s="331">
        <f t="shared" si="35"/>
        <v>152422</v>
      </c>
      <c r="K1110" s="199">
        <v>1.2</v>
      </c>
      <c r="L1110" s="199">
        <v>0.93</v>
      </c>
    </row>
    <row r="1111" spans="1:12" ht="15" customHeight="1" x14ac:dyDescent="0.25">
      <c r="A1111" s="49">
        <v>2009</v>
      </c>
      <c r="B1111" s="330" t="s">
        <v>32</v>
      </c>
      <c r="C1111" s="331">
        <v>20537415020</v>
      </c>
      <c r="D1111" s="331">
        <v>4145087680</v>
      </c>
      <c r="E1111" s="331">
        <v>92305430</v>
      </c>
      <c r="F1111" s="331">
        <v>257205</v>
      </c>
      <c r="G1111" s="332">
        <f t="shared" si="34"/>
        <v>1.2523728022710036E-5</v>
      </c>
      <c r="H1111" s="331">
        <v>17905</v>
      </c>
      <c r="I1111" s="331">
        <v>0</v>
      </c>
      <c r="J1111" s="331">
        <f t="shared" si="35"/>
        <v>17905</v>
      </c>
      <c r="K1111" s="199">
        <v>2.2000000000000002</v>
      </c>
      <c r="L1111" s="199">
        <v>0.98</v>
      </c>
    </row>
    <row r="1112" spans="1:12" ht="15" customHeight="1" x14ac:dyDescent="0.25">
      <c r="A1112" s="49">
        <v>2010</v>
      </c>
      <c r="B1112" s="330" t="s">
        <v>32</v>
      </c>
      <c r="C1112" s="331">
        <v>20831819210</v>
      </c>
      <c r="D1112" s="331">
        <v>4931562082</v>
      </c>
      <c r="E1112" s="331">
        <v>165909719</v>
      </c>
      <c r="F1112" s="331">
        <v>173820</v>
      </c>
      <c r="G1112" s="332">
        <f t="shared" si="34"/>
        <v>8.3439664221241094E-6</v>
      </c>
      <c r="H1112" s="331">
        <v>4283</v>
      </c>
      <c r="I1112" s="331">
        <v>0</v>
      </c>
      <c r="J1112" s="331">
        <f t="shared" si="35"/>
        <v>4283</v>
      </c>
      <c r="K1112" s="199">
        <v>3.4</v>
      </c>
      <c r="L1112" s="199">
        <v>1.02</v>
      </c>
    </row>
    <row r="1113" spans="1:12" ht="15" customHeight="1" x14ac:dyDescent="0.25">
      <c r="A1113" s="49">
        <v>2011</v>
      </c>
      <c r="B1113" s="330" t="s">
        <v>32</v>
      </c>
      <c r="C1113" s="331">
        <v>21706907030</v>
      </c>
      <c r="D1113" s="331">
        <v>5802137928</v>
      </c>
      <c r="E1113" s="331">
        <v>208497882</v>
      </c>
      <c r="F1113" s="331">
        <v>126686</v>
      </c>
      <c r="G1113" s="332">
        <f t="shared" si="34"/>
        <v>5.8362068729973276E-6</v>
      </c>
      <c r="H1113" s="331">
        <v>73979</v>
      </c>
      <c r="I1113" s="331">
        <v>0</v>
      </c>
      <c r="J1113" s="331">
        <f t="shared" si="35"/>
        <v>73979</v>
      </c>
      <c r="K1113" s="199">
        <v>3.6</v>
      </c>
      <c r="L1113" s="199">
        <v>1.02</v>
      </c>
    </row>
    <row r="1114" spans="1:12" ht="15" customHeight="1" x14ac:dyDescent="0.25">
      <c r="A1114" s="49">
        <v>2012</v>
      </c>
      <c r="B1114" s="330" t="s">
        <v>32</v>
      </c>
      <c r="C1114" s="331">
        <v>22519975023</v>
      </c>
      <c r="D1114" s="331">
        <v>6621067648</v>
      </c>
      <c r="E1114" s="331">
        <v>220135474</v>
      </c>
      <c r="F1114" s="331">
        <v>113980</v>
      </c>
      <c r="G1114" s="332">
        <f t="shared" si="34"/>
        <v>5.061284476718578E-6</v>
      </c>
      <c r="H1114" s="331">
        <v>174165</v>
      </c>
      <c r="I1114" s="331">
        <v>0</v>
      </c>
      <c r="J1114" s="331">
        <f t="shared" si="35"/>
        <v>174165</v>
      </c>
      <c r="K1114" s="199">
        <v>3.32</v>
      </c>
      <c r="L1114" s="199">
        <v>1.02</v>
      </c>
    </row>
    <row r="1115" spans="1:12" ht="15" customHeight="1" x14ac:dyDescent="0.25">
      <c r="A1115" s="49">
        <v>2013</v>
      </c>
      <c r="B1115" s="330" t="s">
        <v>32</v>
      </c>
      <c r="C1115" s="331">
        <v>23106435383</v>
      </c>
      <c r="D1115" s="331">
        <v>6747611212</v>
      </c>
      <c r="E1115" s="331">
        <v>168492470</v>
      </c>
      <c r="F1115" s="331">
        <v>99972</v>
      </c>
      <c r="G1115" s="332">
        <f t="shared" si="34"/>
        <v>4.3265868725710925E-6</v>
      </c>
      <c r="H1115" s="331">
        <v>241056</v>
      </c>
      <c r="I1115" s="331">
        <v>0</v>
      </c>
      <c r="J1115" s="331">
        <f t="shared" si="35"/>
        <v>241056</v>
      </c>
      <c r="K1115" s="199">
        <v>2.5</v>
      </c>
      <c r="L1115" s="199">
        <v>1.02</v>
      </c>
    </row>
    <row r="1116" spans="1:12" ht="15" customHeight="1" x14ac:dyDescent="0.25">
      <c r="A1116" s="49">
        <v>2014</v>
      </c>
      <c r="B1116" s="330" t="s">
        <v>32</v>
      </c>
      <c r="C1116" s="331">
        <v>24608123323</v>
      </c>
      <c r="D1116" s="331">
        <v>6935305425</v>
      </c>
      <c r="E1116" s="331">
        <v>125011088</v>
      </c>
      <c r="F1116" s="331">
        <v>79262</v>
      </c>
      <c r="G1116" s="332">
        <f t="shared" si="34"/>
        <v>3.2209689036269464E-6</v>
      </c>
      <c r="H1116" s="331">
        <v>281890</v>
      </c>
      <c r="I1116" s="331">
        <v>0</v>
      </c>
      <c r="J1116" s="331">
        <f t="shared" si="35"/>
        <v>281890</v>
      </c>
      <c r="K1116" s="333">
        <v>1.8025318329797999</v>
      </c>
      <c r="L1116" s="199">
        <v>1.02</v>
      </c>
    </row>
    <row r="1117" spans="1:12" ht="15" customHeight="1" x14ac:dyDescent="0.25">
      <c r="A1117" s="49">
        <v>2015</v>
      </c>
      <c r="B1117" s="330" t="s">
        <v>32</v>
      </c>
      <c r="C1117" s="334">
        <v>25700125000</v>
      </c>
      <c r="D1117" s="334">
        <v>7177488000</v>
      </c>
      <c r="E1117" s="334">
        <v>67902000</v>
      </c>
      <c r="F1117" s="331">
        <v>67164</v>
      </c>
      <c r="G1117" s="332">
        <f t="shared" si="34"/>
        <v>2.6133725030520279E-6</v>
      </c>
      <c r="H1117" s="331">
        <v>289375</v>
      </c>
      <c r="I1117" s="199">
        <v>0</v>
      </c>
      <c r="J1117" s="331">
        <f t="shared" si="35"/>
        <v>289375</v>
      </c>
      <c r="K1117" s="199">
        <v>1.1000000000000001</v>
      </c>
      <c r="L1117" s="199">
        <v>1.03</v>
      </c>
    </row>
    <row r="1118" spans="1:12" ht="15" customHeight="1" x14ac:dyDescent="0.25">
      <c r="A1118" s="49">
        <v>1980</v>
      </c>
      <c r="B1118" s="330" t="s">
        <v>33</v>
      </c>
      <c r="C1118" s="331">
        <v>37292579421</v>
      </c>
      <c r="D1118" s="331">
        <v>16681467571</v>
      </c>
      <c r="E1118" s="331">
        <v>575938042</v>
      </c>
      <c r="F1118" s="331">
        <v>675735</v>
      </c>
      <c r="G1118" s="332">
        <f t="shared" si="34"/>
        <v>1.8119824653895721E-5</v>
      </c>
      <c r="H1118" s="331">
        <v>155971</v>
      </c>
      <c r="I1118" s="331">
        <v>651928</v>
      </c>
      <c r="J1118" s="331">
        <f t="shared" si="35"/>
        <v>-495957</v>
      </c>
      <c r="K1118" s="199">
        <v>3.45</v>
      </c>
      <c r="L1118" s="199">
        <v>2.69</v>
      </c>
    </row>
    <row r="1119" spans="1:12" ht="15" customHeight="1" x14ac:dyDescent="0.25">
      <c r="A1119" s="49">
        <v>1981</v>
      </c>
      <c r="B1119" s="330" t="s">
        <v>33</v>
      </c>
      <c r="C1119" s="331">
        <v>40936273011</v>
      </c>
      <c r="D1119" s="331">
        <v>18186199526</v>
      </c>
      <c r="E1119" s="331">
        <v>601003269</v>
      </c>
      <c r="F1119" s="331">
        <v>659689</v>
      </c>
      <c r="G1119" s="332">
        <f t="shared" si="34"/>
        <v>1.6115023461533362E-5</v>
      </c>
      <c r="H1119" s="331">
        <v>190311</v>
      </c>
      <c r="I1119" s="331">
        <v>612449</v>
      </c>
      <c r="J1119" s="331">
        <f t="shared" si="35"/>
        <v>-422138</v>
      </c>
      <c r="K1119" s="199">
        <v>3.3</v>
      </c>
      <c r="L1119" s="199">
        <v>2.69</v>
      </c>
    </row>
    <row r="1120" spans="1:12" ht="15" customHeight="1" x14ac:dyDescent="0.25">
      <c r="A1120" s="49">
        <v>1982</v>
      </c>
      <c r="B1120" s="330" t="s">
        <v>33</v>
      </c>
      <c r="C1120" s="331">
        <v>43592559670</v>
      </c>
      <c r="D1120" s="331">
        <v>19269715158</v>
      </c>
      <c r="E1120" s="331">
        <v>616884402</v>
      </c>
      <c r="F1120" s="331">
        <v>806780</v>
      </c>
      <c r="G1120" s="332">
        <f t="shared" si="34"/>
        <v>1.8507286704598323E-5</v>
      </c>
      <c r="H1120" s="331">
        <v>97363</v>
      </c>
      <c r="I1120" s="331">
        <v>520720</v>
      </c>
      <c r="J1120" s="331">
        <f t="shared" si="35"/>
        <v>-423357</v>
      </c>
      <c r="K1120" s="199">
        <v>3.2</v>
      </c>
      <c r="L1120" s="199">
        <v>2.69</v>
      </c>
    </row>
    <row r="1121" spans="1:12" x14ac:dyDescent="0.25">
      <c r="A1121" s="49">
        <v>1983</v>
      </c>
      <c r="B1121" s="330" t="s">
        <v>33</v>
      </c>
      <c r="C1121" s="331">
        <v>47324956805</v>
      </c>
      <c r="D1121" s="331">
        <v>21051029425</v>
      </c>
      <c r="E1121" s="331">
        <v>662916723</v>
      </c>
      <c r="F1121" s="331">
        <v>688197</v>
      </c>
      <c r="G1121" s="332">
        <f t="shared" si="34"/>
        <v>1.4541946711872968E-5</v>
      </c>
      <c r="H1121" s="331">
        <v>189988</v>
      </c>
      <c r="I1121" s="331">
        <v>422339</v>
      </c>
      <c r="J1121" s="331">
        <f t="shared" si="35"/>
        <v>-232351</v>
      </c>
      <c r="K1121" s="199">
        <v>3.15</v>
      </c>
      <c r="L1121" s="199">
        <v>2.69</v>
      </c>
    </row>
    <row r="1122" spans="1:12" ht="15" customHeight="1" x14ac:dyDescent="0.25">
      <c r="A1122" s="49">
        <v>1984</v>
      </c>
      <c r="B1122" s="330" t="s">
        <v>33</v>
      </c>
      <c r="C1122" s="331">
        <v>52933775203</v>
      </c>
      <c r="D1122" s="331">
        <v>24132143115</v>
      </c>
      <c r="E1122" s="331">
        <v>788147866</v>
      </c>
      <c r="F1122" s="331">
        <v>597952</v>
      </c>
      <c r="G1122" s="332">
        <f t="shared" si="34"/>
        <v>1.1296228121022272E-5</v>
      </c>
      <c r="H1122" s="331">
        <v>499961</v>
      </c>
      <c r="I1122" s="331">
        <v>320382</v>
      </c>
      <c r="J1122" s="331">
        <f t="shared" si="35"/>
        <v>179579</v>
      </c>
      <c r="K1122" s="199">
        <v>3.27</v>
      </c>
      <c r="L1122" s="199">
        <v>2.69</v>
      </c>
    </row>
    <row r="1123" spans="1:12" ht="15" customHeight="1" x14ac:dyDescent="0.25">
      <c r="A1123" s="49">
        <v>1985</v>
      </c>
      <c r="B1123" s="330" t="s">
        <v>33</v>
      </c>
      <c r="C1123" s="331">
        <v>57465576433</v>
      </c>
      <c r="D1123" s="331">
        <v>26157757600</v>
      </c>
      <c r="E1123" s="331">
        <v>873373099</v>
      </c>
      <c r="F1123" s="331">
        <v>641316</v>
      </c>
      <c r="G1123" s="332">
        <f t="shared" si="34"/>
        <v>1.1160002906221957E-5</v>
      </c>
      <c r="H1123" s="331">
        <v>769221</v>
      </c>
      <c r="I1123" s="331">
        <v>0</v>
      </c>
      <c r="J1123" s="331">
        <f t="shared" si="35"/>
        <v>769221</v>
      </c>
      <c r="K1123" s="199">
        <v>3.34</v>
      </c>
      <c r="L1123" s="199">
        <v>2.69</v>
      </c>
    </row>
    <row r="1124" spans="1:12" ht="15" customHeight="1" x14ac:dyDescent="0.25">
      <c r="A1124" s="49">
        <v>1986</v>
      </c>
      <c r="B1124" s="330" t="s">
        <v>33</v>
      </c>
      <c r="C1124" s="331">
        <v>62322143895</v>
      </c>
      <c r="D1124" s="331">
        <v>28413815586</v>
      </c>
      <c r="E1124" s="331">
        <v>846951281</v>
      </c>
      <c r="F1124" s="331">
        <v>629865</v>
      </c>
      <c r="G1124" s="332">
        <f t="shared" si="34"/>
        <v>1.0106600329109233E-5</v>
      </c>
      <c r="H1124" s="331">
        <v>1259802</v>
      </c>
      <c r="I1124" s="331">
        <v>0</v>
      </c>
      <c r="J1124" s="331">
        <f t="shared" si="35"/>
        <v>1259802</v>
      </c>
      <c r="K1124" s="199">
        <v>2.98</v>
      </c>
      <c r="L1124" s="199">
        <v>2.69</v>
      </c>
    </row>
    <row r="1125" spans="1:12" ht="15" customHeight="1" x14ac:dyDescent="0.25">
      <c r="A1125" s="49">
        <v>1987</v>
      </c>
      <c r="B1125" s="330" t="s">
        <v>33</v>
      </c>
      <c r="C1125" s="331">
        <v>68874450152</v>
      </c>
      <c r="D1125" s="331">
        <v>31129471827</v>
      </c>
      <c r="E1125" s="331">
        <v>751539380</v>
      </c>
      <c r="F1125" s="331">
        <v>543012</v>
      </c>
      <c r="G1125" s="332">
        <f t="shared" si="34"/>
        <v>7.8840847193933178E-6</v>
      </c>
      <c r="H1125" s="331">
        <v>1824173</v>
      </c>
      <c r="I1125" s="331">
        <v>0</v>
      </c>
      <c r="J1125" s="331">
        <f t="shared" si="35"/>
        <v>1824173</v>
      </c>
      <c r="K1125" s="199">
        <v>2.41</v>
      </c>
      <c r="L1125" s="199">
        <v>2.69</v>
      </c>
    </row>
    <row r="1126" spans="1:12" ht="15" customHeight="1" x14ac:dyDescent="0.25">
      <c r="A1126" s="49">
        <v>1988</v>
      </c>
      <c r="B1126" s="330" t="s">
        <v>33</v>
      </c>
      <c r="C1126" s="331">
        <v>75726298234</v>
      </c>
      <c r="D1126" s="331">
        <v>33543161141</v>
      </c>
      <c r="E1126" s="331">
        <v>718160364</v>
      </c>
      <c r="F1126" s="331">
        <v>581425</v>
      </c>
      <c r="G1126" s="332">
        <f t="shared" si="34"/>
        <v>7.6779799562280549E-6</v>
      </c>
      <c r="H1126" s="331">
        <v>2364546</v>
      </c>
      <c r="I1126" s="331">
        <v>0</v>
      </c>
      <c r="J1126" s="331">
        <f t="shared" si="35"/>
        <v>2364546</v>
      </c>
      <c r="K1126" s="199">
        <v>2.14</v>
      </c>
      <c r="L1126" s="199">
        <v>2.69</v>
      </c>
    </row>
    <row r="1127" spans="1:12" ht="15" customHeight="1" x14ac:dyDescent="0.25">
      <c r="A1127" s="49">
        <v>1989</v>
      </c>
      <c r="B1127" s="330" t="s">
        <v>33</v>
      </c>
      <c r="C1127" s="331">
        <v>78991120644</v>
      </c>
      <c r="D1127" s="331">
        <v>35633308803</v>
      </c>
      <c r="E1127" s="331">
        <v>721718450</v>
      </c>
      <c r="F1127" s="331">
        <v>719601</v>
      </c>
      <c r="G1127" s="332">
        <f t="shared" si="34"/>
        <v>9.1098973420458674E-6</v>
      </c>
      <c r="H1127" s="331">
        <v>2794979</v>
      </c>
      <c r="I1127" s="331">
        <v>0</v>
      </c>
      <c r="J1127" s="331">
        <f t="shared" si="35"/>
        <v>2794979</v>
      </c>
      <c r="K1127" s="199">
        <v>2.0299999999999998</v>
      </c>
      <c r="L1127" s="199">
        <v>2.69</v>
      </c>
    </row>
    <row r="1128" spans="1:12" ht="15" customHeight="1" x14ac:dyDescent="0.25">
      <c r="A1128" s="49">
        <v>1990</v>
      </c>
      <c r="B1128" s="330" t="s">
        <v>33</v>
      </c>
      <c r="C1128" s="331">
        <v>81786756839</v>
      </c>
      <c r="D1128" s="331">
        <v>37509586994</v>
      </c>
      <c r="E1128" s="331">
        <v>681917321</v>
      </c>
      <c r="F1128" s="331">
        <v>1026406</v>
      </c>
      <c r="G1128" s="332">
        <f t="shared" si="34"/>
        <v>1.2549782381278609E-5</v>
      </c>
      <c r="H1128" s="331">
        <v>2897131</v>
      </c>
      <c r="I1128" s="331">
        <v>0</v>
      </c>
      <c r="J1128" s="331">
        <f t="shared" si="35"/>
        <v>2897131</v>
      </c>
      <c r="K1128" s="199">
        <v>1.82</v>
      </c>
      <c r="L1128" s="199">
        <v>2.69</v>
      </c>
    </row>
    <row r="1129" spans="1:12" ht="15" customHeight="1" x14ac:dyDescent="0.25">
      <c r="A1129" s="49">
        <v>1991</v>
      </c>
      <c r="B1129" s="330" t="s">
        <v>33</v>
      </c>
      <c r="C1129" s="331">
        <v>81187363757</v>
      </c>
      <c r="D1129" s="331">
        <v>36839011377</v>
      </c>
      <c r="E1129" s="331">
        <v>687881565</v>
      </c>
      <c r="F1129" s="331">
        <v>1488130</v>
      </c>
      <c r="G1129" s="332">
        <f t="shared" si="34"/>
        <v>1.8329576563836794E-5</v>
      </c>
      <c r="H1129" s="331">
        <v>2564278</v>
      </c>
      <c r="I1129" s="331">
        <v>0</v>
      </c>
      <c r="J1129" s="331">
        <f t="shared" si="35"/>
        <v>2564278</v>
      </c>
      <c r="K1129" s="199">
        <v>1.87</v>
      </c>
      <c r="L1129" s="199">
        <v>2.69</v>
      </c>
    </row>
    <row r="1130" spans="1:12" ht="15" customHeight="1" x14ac:dyDescent="0.25">
      <c r="A1130" s="49">
        <v>1992</v>
      </c>
      <c r="B1130" s="330" t="s">
        <v>33</v>
      </c>
      <c r="C1130" s="331">
        <v>85718763215</v>
      </c>
      <c r="D1130" s="331">
        <v>38131372480</v>
      </c>
      <c r="E1130" s="331">
        <v>775093130</v>
      </c>
      <c r="F1130" s="331">
        <v>1348482</v>
      </c>
      <c r="G1130" s="332">
        <f t="shared" si="34"/>
        <v>1.5731468227297381E-5</v>
      </c>
      <c r="H1130" s="331">
        <v>2439970</v>
      </c>
      <c r="I1130" s="331">
        <v>0</v>
      </c>
      <c r="J1130" s="331">
        <f t="shared" si="35"/>
        <v>2439970</v>
      </c>
      <c r="K1130" s="199">
        <v>2.0299999999999998</v>
      </c>
      <c r="L1130" s="199">
        <v>2.69</v>
      </c>
    </row>
    <row r="1131" spans="1:12" ht="15" customHeight="1" x14ac:dyDescent="0.25">
      <c r="A1131" s="49">
        <v>1993</v>
      </c>
      <c r="B1131" s="330" t="s">
        <v>33</v>
      </c>
      <c r="C1131" s="331">
        <v>88201282591</v>
      </c>
      <c r="D1131" s="331">
        <v>40206487741</v>
      </c>
      <c r="E1131" s="331">
        <v>453760142</v>
      </c>
      <c r="F1131" s="331">
        <v>1193610</v>
      </c>
      <c r="G1131" s="332">
        <f t="shared" si="34"/>
        <v>1.3532796405409587E-5</v>
      </c>
      <c r="H1131" s="331">
        <v>1965236</v>
      </c>
      <c r="I1131" s="331">
        <v>0</v>
      </c>
      <c r="J1131" s="331">
        <f t="shared" si="35"/>
        <v>1965236</v>
      </c>
      <c r="K1131" s="199">
        <v>1.1299999999999999</v>
      </c>
      <c r="L1131" s="199">
        <v>2.69</v>
      </c>
    </row>
    <row r="1132" spans="1:12" ht="15" customHeight="1" x14ac:dyDescent="0.25">
      <c r="A1132" s="49">
        <v>1994</v>
      </c>
      <c r="B1132" s="330" t="s">
        <v>33</v>
      </c>
      <c r="C1132" s="331">
        <v>91569141042</v>
      </c>
      <c r="D1132" s="331">
        <v>43231732054</v>
      </c>
      <c r="E1132" s="331">
        <v>759515443</v>
      </c>
      <c r="F1132" s="331">
        <v>1200550</v>
      </c>
      <c r="G1132" s="332">
        <f t="shared" si="34"/>
        <v>1.3110857941206896E-5</v>
      </c>
      <c r="H1132" s="331">
        <v>1947033</v>
      </c>
      <c r="I1132" s="331">
        <v>0</v>
      </c>
      <c r="J1132" s="331">
        <f t="shared" si="35"/>
        <v>1947033</v>
      </c>
      <c r="K1132" s="199">
        <v>1.76</v>
      </c>
      <c r="L1132" s="199">
        <v>2.67</v>
      </c>
    </row>
    <row r="1133" spans="1:12" ht="15" customHeight="1" x14ac:dyDescent="0.25">
      <c r="A1133" s="49">
        <v>1995</v>
      </c>
      <c r="B1133" s="330" t="s">
        <v>33</v>
      </c>
      <c r="C1133" s="331">
        <v>96095062909</v>
      </c>
      <c r="D1133" s="331">
        <v>44633905153</v>
      </c>
      <c r="E1133" s="331">
        <v>839949031</v>
      </c>
      <c r="F1133" s="331">
        <v>1253780</v>
      </c>
      <c r="G1133" s="332">
        <f t="shared" si="34"/>
        <v>1.3047288404268004E-5</v>
      </c>
      <c r="H1133" s="331">
        <v>1987790</v>
      </c>
      <c r="I1133" s="331">
        <v>0</v>
      </c>
      <c r="J1133" s="331">
        <f t="shared" si="35"/>
        <v>1987790</v>
      </c>
      <c r="K1133" s="199">
        <v>1.88</v>
      </c>
      <c r="L1133" s="199">
        <v>2.23</v>
      </c>
    </row>
    <row r="1134" spans="1:12" ht="15" customHeight="1" x14ac:dyDescent="0.25">
      <c r="A1134" s="49">
        <v>1996</v>
      </c>
      <c r="B1134" s="330" t="s">
        <v>33</v>
      </c>
      <c r="C1134" s="331">
        <v>101529842690</v>
      </c>
      <c r="D1134" s="331">
        <v>46476381476</v>
      </c>
      <c r="E1134" s="331">
        <v>1177227208</v>
      </c>
      <c r="F1134" s="331">
        <v>1356510</v>
      </c>
      <c r="G1134" s="332">
        <f t="shared" si="34"/>
        <v>1.3360702272944691E-5</v>
      </c>
      <c r="H1134" s="331">
        <v>2028818</v>
      </c>
      <c r="I1134" s="331">
        <v>0</v>
      </c>
      <c r="J1134" s="331">
        <f t="shared" si="35"/>
        <v>2028818</v>
      </c>
      <c r="K1134" s="199">
        <v>2.5299999999999998</v>
      </c>
      <c r="L1134" s="199">
        <v>2.04</v>
      </c>
    </row>
    <row r="1135" spans="1:12" ht="15" customHeight="1" x14ac:dyDescent="0.25">
      <c r="A1135" s="49">
        <v>1997</v>
      </c>
      <c r="B1135" s="330" t="s">
        <v>33</v>
      </c>
      <c r="C1135" s="331">
        <v>109269348830</v>
      </c>
      <c r="D1135" s="331">
        <v>49254602466</v>
      </c>
      <c r="E1135" s="331">
        <v>1251225735</v>
      </c>
      <c r="F1135" s="331">
        <v>1059563</v>
      </c>
      <c r="G1135" s="332">
        <f t="shared" si="34"/>
        <v>9.6967998010902027E-6</v>
      </c>
      <c r="H1135" s="331">
        <v>2384916</v>
      </c>
      <c r="I1135" s="331">
        <v>0</v>
      </c>
      <c r="J1135" s="331">
        <f t="shared" si="35"/>
        <v>2384916</v>
      </c>
      <c r="K1135" s="199">
        <v>2.54</v>
      </c>
      <c r="L1135" s="199">
        <v>1.95</v>
      </c>
    </row>
    <row r="1136" spans="1:12" ht="15" customHeight="1" x14ac:dyDescent="0.25">
      <c r="A1136" s="49">
        <v>1998</v>
      </c>
      <c r="B1136" s="330" t="s">
        <v>33</v>
      </c>
      <c r="C1136" s="331">
        <v>118751247668</v>
      </c>
      <c r="D1136" s="331">
        <v>52476797887</v>
      </c>
      <c r="E1136" s="331">
        <v>1090181691</v>
      </c>
      <c r="F1136" s="331">
        <v>1030756</v>
      </c>
      <c r="G1136" s="332">
        <f t="shared" si="34"/>
        <v>8.6799593287789821E-6</v>
      </c>
      <c r="H1136" s="331">
        <v>2676386</v>
      </c>
      <c r="I1136" s="331">
        <v>0</v>
      </c>
      <c r="J1136" s="331">
        <f t="shared" si="35"/>
        <v>2676386</v>
      </c>
      <c r="K1136" s="199">
        <v>2.1800000000000002</v>
      </c>
      <c r="L1136" s="199">
        <v>1.92</v>
      </c>
    </row>
    <row r="1137" spans="1:12" ht="15" customHeight="1" x14ac:dyDescent="0.25">
      <c r="A1137" s="49">
        <v>1999</v>
      </c>
      <c r="B1137" s="330" t="s">
        <v>33</v>
      </c>
      <c r="C1137" s="331">
        <v>127735145800</v>
      </c>
      <c r="D1137" s="331">
        <v>56280762307</v>
      </c>
      <c r="E1137" s="331">
        <v>1069021038</v>
      </c>
      <c r="F1137" s="331">
        <v>1024551</v>
      </c>
      <c r="G1137" s="332">
        <f t="shared" si="34"/>
        <v>8.0209013234633181E-6</v>
      </c>
      <c r="H1137" s="331">
        <v>2708795</v>
      </c>
      <c r="I1137" s="331">
        <v>0</v>
      </c>
      <c r="J1137" s="331">
        <f t="shared" si="35"/>
        <v>2708795</v>
      </c>
      <c r="K1137" s="199">
        <v>1.88</v>
      </c>
      <c r="L1137" s="199">
        <v>1.92</v>
      </c>
    </row>
    <row r="1138" spans="1:12" ht="15" customHeight="1" x14ac:dyDescent="0.25">
      <c r="A1138" s="49">
        <v>2000</v>
      </c>
      <c r="B1138" s="330" t="s">
        <v>33</v>
      </c>
      <c r="C1138" s="331">
        <v>140322278084</v>
      </c>
      <c r="D1138" s="331">
        <v>60413858871</v>
      </c>
      <c r="E1138" s="331">
        <v>1220379830</v>
      </c>
      <c r="F1138" s="331">
        <v>1074571</v>
      </c>
      <c r="G1138" s="332">
        <f t="shared" si="34"/>
        <v>7.6578788106385942E-6</v>
      </c>
      <c r="H1138" s="331">
        <v>3086440</v>
      </c>
      <c r="I1138" s="331">
        <v>0</v>
      </c>
      <c r="J1138" s="331">
        <f t="shared" si="35"/>
        <v>3086440</v>
      </c>
      <c r="K1138" s="199">
        <v>2.02</v>
      </c>
      <c r="L1138" s="199">
        <v>1.92</v>
      </c>
    </row>
    <row r="1139" spans="1:12" ht="15" customHeight="1" x14ac:dyDescent="0.25">
      <c r="A1139" s="49">
        <v>2001</v>
      </c>
      <c r="B1139" s="330" t="s">
        <v>33</v>
      </c>
      <c r="C1139" s="331">
        <v>140838250775</v>
      </c>
      <c r="D1139" s="331">
        <v>63325807024</v>
      </c>
      <c r="E1139" s="331">
        <v>1283252330</v>
      </c>
      <c r="F1139" s="331">
        <v>1478197</v>
      </c>
      <c r="G1139" s="332">
        <f t="shared" si="34"/>
        <v>1.0495706896853853E-5</v>
      </c>
      <c r="H1139" s="331">
        <v>3121668</v>
      </c>
      <c r="I1139" s="331">
        <v>0</v>
      </c>
      <c r="J1139" s="331">
        <f t="shared" si="35"/>
        <v>3121668</v>
      </c>
      <c r="K1139" s="199">
        <v>2.0299999999999998</v>
      </c>
      <c r="L1139" s="199">
        <v>1.84</v>
      </c>
    </row>
    <row r="1140" spans="1:12" ht="15" customHeight="1" x14ac:dyDescent="0.25">
      <c r="A1140" s="49">
        <v>2002</v>
      </c>
      <c r="B1140" s="330" t="s">
        <v>33</v>
      </c>
      <c r="C1140" s="331">
        <v>141603883027</v>
      </c>
      <c r="D1140" s="331">
        <v>64630485270</v>
      </c>
      <c r="E1140" s="331">
        <v>1207763929</v>
      </c>
      <c r="F1140" s="331">
        <v>2002931</v>
      </c>
      <c r="G1140" s="332">
        <f t="shared" si="34"/>
        <v>1.4144605057321032E-5</v>
      </c>
      <c r="H1140" s="331">
        <v>2306251</v>
      </c>
      <c r="I1140" s="331">
        <v>0</v>
      </c>
      <c r="J1140" s="331">
        <f t="shared" si="35"/>
        <v>2306251</v>
      </c>
      <c r="K1140" s="199">
        <v>1.87</v>
      </c>
      <c r="L1140" s="199">
        <v>1.84</v>
      </c>
    </row>
    <row r="1141" spans="1:12" ht="15" customHeight="1" x14ac:dyDescent="0.25">
      <c r="A1141" s="49">
        <v>2003</v>
      </c>
      <c r="B1141" s="330" t="s">
        <v>33</v>
      </c>
      <c r="C1141" s="331">
        <v>144310792252</v>
      </c>
      <c r="D1141" s="331">
        <v>65529012281</v>
      </c>
      <c r="E1141" s="331">
        <v>1090290448</v>
      </c>
      <c r="F1141" s="331">
        <v>1999066</v>
      </c>
      <c r="G1141" s="332">
        <f t="shared" si="34"/>
        <v>1.3852505199397484E-5</v>
      </c>
      <c r="H1141" s="331">
        <v>1513268</v>
      </c>
      <c r="I1141" s="331">
        <v>0</v>
      </c>
      <c r="J1141" s="331">
        <f t="shared" si="35"/>
        <v>1513268</v>
      </c>
      <c r="K1141" s="199">
        <v>1.66</v>
      </c>
      <c r="L1141" s="199">
        <v>1.84</v>
      </c>
    </row>
    <row r="1142" spans="1:12" ht="15" customHeight="1" x14ac:dyDescent="0.25">
      <c r="A1142" s="49">
        <v>2004</v>
      </c>
      <c r="B1142" s="330" t="s">
        <v>33</v>
      </c>
      <c r="C1142" s="331">
        <v>150165037986</v>
      </c>
      <c r="D1142" s="331">
        <v>67325638347</v>
      </c>
      <c r="E1142" s="331">
        <v>1211299555</v>
      </c>
      <c r="F1142" s="331">
        <v>1840552</v>
      </c>
      <c r="G1142" s="332">
        <f t="shared" si="34"/>
        <v>1.2256861015621999E-5</v>
      </c>
      <c r="H1142" s="331">
        <v>1001771</v>
      </c>
      <c r="I1142" s="331">
        <v>0</v>
      </c>
      <c r="J1142" s="331">
        <f t="shared" si="35"/>
        <v>1001771</v>
      </c>
      <c r="K1142" s="199">
        <v>1.8</v>
      </c>
      <c r="L1142" s="199">
        <v>1.84</v>
      </c>
    </row>
    <row r="1143" spans="1:12" ht="15" customHeight="1" x14ac:dyDescent="0.25">
      <c r="A1143" s="49">
        <v>2005</v>
      </c>
      <c r="B1143" s="330" t="s">
        <v>33</v>
      </c>
      <c r="C1143" s="331">
        <v>155902842016</v>
      </c>
      <c r="D1143" s="331">
        <v>69913516897</v>
      </c>
      <c r="E1143" s="331">
        <v>1320779762</v>
      </c>
      <c r="F1143" s="331">
        <v>1731312</v>
      </c>
      <c r="G1143" s="332">
        <f t="shared" si="34"/>
        <v>1.1105070168139199E-5</v>
      </c>
      <c r="H1143" s="331">
        <v>914608</v>
      </c>
      <c r="I1143" s="331">
        <v>0</v>
      </c>
      <c r="J1143" s="331">
        <f t="shared" si="35"/>
        <v>914608</v>
      </c>
      <c r="K1143" s="199">
        <v>1.89</v>
      </c>
      <c r="L1143" s="199">
        <v>1.84</v>
      </c>
    </row>
    <row r="1144" spans="1:12" ht="15" customHeight="1" x14ac:dyDescent="0.25">
      <c r="A1144" s="49">
        <v>2006</v>
      </c>
      <c r="B1144" s="330" t="s">
        <v>33</v>
      </c>
      <c r="C1144" s="331">
        <v>163993835188</v>
      </c>
      <c r="D1144" s="331">
        <v>72475270557</v>
      </c>
      <c r="E1144" s="331">
        <v>1172064317</v>
      </c>
      <c r="F1144" s="331">
        <v>1674375</v>
      </c>
      <c r="G1144" s="332">
        <f t="shared" si="34"/>
        <v>1.020998745520234E-5</v>
      </c>
      <c r="H1144" s="331">
        <v>693638</v>
      </c>
      <c r="I1144" s="331">
        <v>0</v>
      </c>
      <c r="J1144" s="331">
        <f t="shared" si="35"/>
        <v>693638</v>
      </c>
      <c r="K1144" s="199">
        <v>1.62</v>
      </c>
      <c r="L1144" s="199">
        <v>1.84</v>
      </c>
    </row>
    <row r="1145" spans="1:12" ht="15" customHeight="1" x14ac:dyDescent="0.25">
      <c r="A1145" s="49">
        <v>2007</v>
      </c>
      <c r="B1145" s="330" t="s">
        <v>33</v>
      </c>
      <c r="C1145" s="331">
        <v>171588788475</v>
      </c>
      <c r="D1145" s="331">
        <v>74809864098</v>
      </c>
      <c r="E1145" s="331">
        <v>1516251681</v>
      </c>
      <c r="F1145" s="331">
        <v>1819158</v>
      </c>
      <c r="G1145" s="332">
        <f t="shared" si="34"/>
        <v>1.0601846520205754E-5</v>
      </c>
      <c r="H1145" s="331">
        <v>650449</v>
      </c>
      <c r="I1145" s="331">
        <v>0</v>
      </c>
      <c r="J1145" s="331">
        <f t="shared" si="35"/>
        <v>650449</v>
      </c>
      <c r="K1145" s="199">
        <v>2.0299999999999998</v>
      </c>
      <c r="L1145" s="199">
        <v>1.84</v>
      </c>
    </row>
    <row r="1146" spans="1:12" ht="15" customHeight="1" x14ac:dyDescent="0.25">
      <c r="A1146" s="49">
        <v>2008</v>
      </c>
      <c r="B1146" s="330" t="s">
        <v>33</v>
      </c>
      <c r="C1146" s="331">
        <v>174075052375</v>
      </c>
      <c r="D1146" s="331">
        <v>76701293807</v>
      </c>
      <c r="E1146" s="331">
        <v>1538049340</v>
      </c>
      <c r="F1146" s="331">
        <v>2215055</v>
      </c>
      <c r="G1146" s="332">
        <f t="shared" si="34"/>
        <v>1.2724712529330353E-5</v>
      </c>
      <c r="H1146" s="331">
        <v>516779</v>
      </c>
      <c r="I1146" s="331">
        <v>0</v>
      </c>
      <c r="J1146" s="331">
        <f t="shared" si="35"/>
        <v>516779</v>
      </c>
      <c r="K1146" s="199">
        <v>2</v>
      </c>
      <c r="L1146" s="199">
        <v>1.84</v>
      </c>
    </row>
    <row r="1147" spans="1:12" ht="15" customHeight="1" x14ac:dyDescent="0.25">
      <c r="A1147" s="49">
        <v>2009</v>
      </c>
      <c r="B1147" s="330" t="s">
        <v>33</v>
      </c>
      <c r="C1147" s="331">
        <v>163682729694</v>
      </c>
      <c r="D1147" s="331">
        <v>73196872729</v>
      </c>
      <c r="E1147" s="331">
        <v>1508486868</v>
      </c>
      <c r="F1147" s="331">
        <v>3467870</v>
      </c>
      <c r="G1147" s="332">
        <f t="shared" si="34"/>
        <v>2.1186535723610425E-5</v>
      </c>
      <c r="H1147" s="331">
        <v>69478</v>
      </c>
      <c r="I1147" s="331">
        <v>964118</v>
      </c>
      <c r="J1147" s="331">
        <f t="shared" si="35"/>
        <v>-894640</v>
      </c>
      <c r="K1147" s="199">
        <v>2.1</v>
      </c>
      <c r="L1147" s="199">
        <v>1.84</v>
      </c>
    </row>
    <row r="1148" spans="1:12" ht="15" customHeight="1" x14ac:dyDescent="0.25">
      <c r="A1148" s="49">
        <v>2010</v>
      </c>
      <c r="B1148" s="330" t="s">
        <v>33</v>
      </c>
      <c r="C1148" s="331">
        <v>166167936860</v>
      </c>
      <c r="D1148" s="331">
        <v>74381766552</v>
      </c>
      <c r="E1148" s="331">
        <v>1864364133</v>
      </c>
      <c r="F1148" s="331">
        <v>2712764</v>
      </c>
      <c r="G1148" s="332">
        <f t="shared" si="34"/>
        <v>1.6325435888907743E-5</v>
      </c>
      <c r="H1148" s="331">
        <v>35807</v>
      </c>
      <c r="I1148" s="331">
        <v>1607867</v>
      </c>
      <c r="J1148" s="331">
        <f t="shared" si="35"/>
        <v>-1572060</v>
      </c>
      <c r="K1148" s="199">
        <v>2.5</v>
      </c>
      <c r="L1148" s="199">
        <v>1.86</v>
      </c>
    </row>
    <row r="1149" spans="1:12" ht="15" customHeight="1" x14ac:dyDescent="0.25">
      <c r="A1149" s="49">
        <v>2011</v>
      </c>
      <c r="B1149" s="330" t="s">
        <v>33</v>
      </c>
      <c r="C1149" s="331">
        <v>170681269179</v>
      </c>
      <c r="D1149" s="331">
        <v>74942620996</v>
      </c>
      <c r="E1149" s="331">
        <v>2238657782</v>
      </c>
      <c r="F1149" s="331">
        <v>2368912</v>
      </c>
      <c r="G1149" s="332">
        <f t="shared" si="34"/>
        <v>1.3879156227246184E-5</v>
      </c>
      <c r="H1149" s="331">
        <v>32349</v>
      </c>
      <c r="I1149" s="331">
        <v>1468558</v>
      </c>
      <c r="J1149" s="331">
        <f t="shared" si="35"/>
        <v>-1436209</v>
      </c>
      <c r="K1149" s="199">
        <v>3</v>
      </c>
      <c r="L1149" s="199">
        <v>1.86</v>
      </c>
    </row>
    <row r="1150" spans="1:12" ht="15" customHeight="1" x14ac:dyDescent="0.25">
      <c r="A1150" s="49">
        <v>2012</v>
      </c>
      <c r="B1150" s="330" t="s">
        <v>33</v>
      </c>
      <c r="C1150" s="331">
        <v>176442041240</v>
      </c>
      <c r="D1150" s="331">
        <v>77055034873</v>
      </c>
      <c r="E1150" s="331">
        <v>2461840192</v>
      </c>
      <c r="F1150" s="331">
        <v>2324269</v>
      </c>
      <c r="G1150" s="332">
        <f t="shared" si="34"/>
        <v>1.3172988612382254E-5</v>
      </c>
      <c r="H1150" s="331">
        <v>32574</v>
      </c>
      <c r="I1150" s="331">
        <v>930835</v>
      </c>
      <c r="J1150" s="331">
        <f t="shared" si="35"/>
        <v>-898261</v>
      </c>
      <c r="K1150" s="199">
        <v>3.19</v>
      </c>
      <c r="L1150" s="199">
        <v>1.86</v>
      </c>
    </row>
    <row r="1151" spans="1:12" ht="15" customHeight="1" x14ac:dyDescent="0.25">
      <c r="A1151" s="49">
        <v>2013</v>
      </c>
      <c r="B1151" s="330" t="s">
        <v>33</v>
      </c>
      <c r="C1151" s="331">
        <v>181530729402</v>
      </c>
      <c r="D1151" s="331">
        <v>79411149091</v>
      </c>
      <c r="E1151" s="331">
        <v>2514215678</v>
      </c>
      <c r="F1151" s="331">
        <v>2176898</v>
      </c>
      <c r="G1151" s="332">
        <f t="shared" si="34"/>
        <v>1.1991898050380533E-5</v>
      </c>
      <c r="H1151" s="331">
        <v>33023</v>
      </c>
      <c r="I1151" s="331">
        <v>146239</v>
      </c>
      <c r="J1151" s="331">
        <f t="shared" si="35"/>
        <v>-113216</v>
      </c>
      <c r="K1151" s="199">
        <v>3.17</v>
      </c>
      <c r="L1151" s="199">
        <v>1.86</v>
      </c>
    </row>
    <row r="1152" spans="1:12" ht="15" customHeight="1" x14ac:dyDescent="0.25">
      <c r="A1152" s="49">
        <v>2014</v>
      </c>
      <c r="B1152" s="330" t="s">
        <v>33</v>
      </c>
      <c r="C1152" s="331">
        <v>186777763707</v>
      </c>
      <c r="D1152" s="331">
        <v>81846706996</v>
      </c>
      <c r="E1152" s="331">
        <v>2372345265</v>
      </c>
      <c r="F1152" s="331">
        <v>2087138</v>
      </c>
      <c r="G1152" s="332">
        <f t="shared" si="34"/>
        <v>1.1174445815049551E-5</v>
      </c>
      <c r="H1152" s="331">
        <v>496388</v>
      </c>
      <c r="I1152" s="331">
        <v>0</v>
      </c>
      <c r="J1152" s="331">
        <f t="shared" si="35"/>
        <v>496388</v>
      </c>
      <c r="K1152" s="333">
        <v>2.8985225576832812</v>
      </c>
      <c r="L1152" s="199">
        <v>1.86</v>
      </c>
    </row>
    <row r="1153" spans="1:12" ht="15" customHeight="1" x14ac:dyDescent="0.25">
      <c r="A1153" s="49">
        <v>2015</v>
      </c>
      <c r="B1153" s="330" t="s">
        <v>33</v>
      </c>
      <c r="C1153" s="334">
        <v>195439259000</v>
      </c>
      <c r="D1153" s="334">
        <v>84901546000</v>
      </c>
      <c r="E1153" s="334">
        <v>2612551000</v>
      </c>
      <c r="F1153" s="331">
        <v>1864449</v>
      </c>
      <c r="G1153" s="332">
        <f t="shared" si="34"/>
        <v>9.5397874999106504E-6</v>
      </c>
      <c r="H1153" s="331">
        <v>1194644</v>
      </c>
      <c r="I1153" s="199">
        <v>0</v>
      </c>
      <c r="J1153" s="331">
        <f t="shared" si="35"/>
        <v>1194644</v>
      </c>
      <c r="K1153" s="199">
        <v>2.7</v>
      </c>
      <c r="L1153" s="199">
        <v>1.86</v>
      </c>
    </row>
    <row r="1154" spans="1:12" ht="15" customHeight="1" x14ac:dyDescent="0.25">
      <c r="A1154" s="49">
        <v>1980</v>
      </c>
      <c r="B1154" s="330" t="s">
        <v>34</v>
      </c>
      <c r="C1154" s="331">
        <v>4156210646</v>
      </c>
      <c r="D1154" s="331">
        <v>2244123990</v>
      </c>
      <c r="E1154" s="331">
        <v>38593549</v>
      </c>
      <c r="F1154" s="331">
        <v>33465</v>
      </c>
      <c r="G1154" s="332">
        <f t="shared" ref="G1154:G1217" si="36">F1154/C1154</f>
        <v>8.0518055628886911E-6</v>
      </c>
      <c r="H1154" s="331">
        <v>95792</v>
      </c>
      <c r="I1154" s="331">
        <v>0</v>
      </c>
      <c r="J1154" s="331">
        <f t="shared" ref="J1154:J1217" si="37">H1154-I1154</f>
        <v>95792</v>
      </c>
      <c r="K1154" s="199">
        <v>1.72</v>
      </c>
      <c r="L1154" s="199">
        <v>1.37</v>
      </c>
    </row>
    <row r="1155" spans="1:12" ht="15" customHeight="1" x14ac:dyDescent="0.25">
      <c r="A1155" s="49">
        <v>1981</v>
      </c>
      <c r="B1155" s="330" t="s">
        <v>34</v>
      </c>
      <c r="C1155" s="331">
        <v>4713517210</v>
      </c>
      <c r="D1155" s="331">
        <v>2573933809</v>
      </c>
      <c r="E1155" s="331">
        <v>43668687</v>
      </c>
      <c r="F1155" s="331">
        <v>34706</v>
      </c>
      <c r="G1155" s="332">
        <f t="shared" si="36"/>
        <v>7.3630790880256484E-6</v>
      </c>
      <c r="H1155" s="331">
        <v>114493</v>
      </c>
      <c r="I1155" s="331">
        <v>0</v>
      </c>
      <c r="J1155" s="331">
        <f t="shared" si="37"/>
        <v>114493</v>
      </c>
      <c r="K1155" s="199">
        <v>1.7</v>
      </c>
      <c r="L1155" s="199">
        <v>1.2</v>
      </c>
    </row>
    <row r="1156" spans="1:12" x14ac:dyDescent="0.25">
      <c r="A1156" s="49">
        <v>1982</v>
      </c>
      <c r="B1156" s="330" t="s">
        <v>34</v>
      </c>
      <c r="C1156" s="331">
        <v>4994876223</v>
      </c>
      <c r="D1156" s="331">
        <v>2699835666</v>
      </c>
      <c r="E1156" s="331">
        <v>45313149</v>
      </c>
      <c r="F1156" s="331">
        <v>68140</v>
      </c>
      <c r="G1156" s="332">
        <f t="shared" si="36"/>
        <v>1.3641979692356432E-5</v>
      </c>
      <c r="H1156" s="331">
        <v>101427</v>
      </c>
      <c r="I1156" s="331">
        <v>0</v>
      </c>
      <c r="J1156" s="331">
        <f t="shared" si="37"/>
        <v>101427</v>
      </c>
      <c r="K1156" s="199">
        <v>1.68</v>
      </c>
      <c r="L1156" s="199">
        <v>1.3</v>
      </c>
    </row>
    <row r="1157" spans="1:12" ht="15" customHeight="1" x14ac:dyDescent="0.25">
      <c r="A1157" s="49">
        <v>1983</v>
      </c>
      <c r="B1157" s="330" t="s">
        <v>34</v>
      </c>
      <c r="C1157" s="331">
        <v>5179320989</v>
      </c>
      <c r="D1157" s="331">
        <v>2859345386</v>
      </c>
      <c r="E1157" s="331">
        <v>48379567</v>
      </c>
      <c r="F1157" s="331">
        <v>76475</v>
      </c>
      <c r="G1157" s="332">
        <f t="shared" si="36"/>
        <v>1.4765449015888364E-5</v>
      </c>
      <c r="H1157" s="331">
        <v>78460</v>
      </c>
      <c r="I1157" s="331">
        <v>0</v>
      </c>
      <c r="J1157" s="331">
        <f t="shared" si="37"/>
        <v>78460</v>
      </c>
      <c r="K1157" s="199">
        <v>1.69</v>
      </c>
      <c r="L1157" s="199">
        <v>1.43</v>
      </c>
    </row>
    <row r="1158" spans="1:12" ht="15" customHeight="1" x14ac:dyDescent="0.25">
      <c r="A1158" s="49">
        <v>1984</v>
      </c>
      <c r="B1158" s="330" t="s">
        <v>34</v>
      </c>
      <c r="C1158" s="331">
        <v>5660192694</v>
      </c>
      <c r="D1158" s="331">
        <v>3154810925</v>
      </c>
      <c r="E1158" s="331">
        <v>65433726</v>
      </c>
      <c r="F1158" s="331">
        <v>57119</v>
      </c>
      <c r="G1158" s="332">
        <f t="shared" si="36"/>
        <v>1.0091352554224543E-5</v>
      </c>
      <c r="H1158" s="331">
        <v>92904</v>
      </c>
      <c r="I1158" s="331">
        <v>0</v>
      </c>
      <c r="J1158" s="331">
        <f t="shared" si="37"/>
        <v>92904</v>
      </c>
      <c r="K1158" s="199">
        <v>2.0699999999999998</v>
      </c>
      <c r="L1158" s="199">
        <v>1.43</v>
      </c>
    </row>
    <row r="1159" spans="1:12" ht="15" customHeight="1" x14ac:dyDescent="0.25">
      <c r="A1159" s="49">
        <v>1985</v>
      </c>
      <c r="B1159" s="330" t="s">
        <v>34</v>
      </c>
      <c r="C1159" s="331">
        <v>6106810158</v>
      </c>
      <c r="D1159" s="331">
        <v>3347232800</v>
      </c>
      <c r="E1159" s="331">
        <v>69569478</v>
      </c>
      <c r="F1159" s="331">
        <v>59202</v>
      </c>
      <c r="G1159" s="332">
        <f t="shared" si="36"/>
        <v>9.694422860426505E-6</v>
      </c>
      <c r="H1159" s="331">
        <v>113457</v>
      </c>
      <c r="I1159" s="331">
        <v>0</v>
      </c>
      <c r="J1159" s="331">
        <f t="shared" si="37"/>
        <v>113457</v>
      </c>
      <c r="K1159" s="199">
        <v>2.08</v>
      </c>
      <c r="L1159" s="199">
        <v>1.43</v>
      </c>
    </row>
    <row r="1160" spans="1:12" ht="15" customHeight="1" x14ac:dyDescent="0.25">
      <c r="A1160" s="49">
        <v>1986</v>
      </c>
      <c r="B1160" s="330" t="s">
        <v>34</v>
      </c>
      <c r="C1160" s="331">
        <v>6240380345</v>
      </c>
      <c r="D1160" s="331">
        <v>3428964186</v>
      </c>
      <c r="E1160" s="331">
        <v>67742890</v>
      </c>
      <c r="F1160" s="331">
        <v>80870</v>
      </c>
      <c r="G1160" s="332">
        <f t="shared" si="36"/>
        <v>1.29591460021817E-5</v>
      </c>
      <c r="H1160" s="331">
        <v>111707</v>
      </c>
      <c r="I1160" s="331">
        <v>0</v>
      </c>
      <c r="J1160" s="331">
        <f t="shared" si="37"/>
        <v>111707</v>
      </c>
      <c r="K1160" s="199">
        <v>1.98</v>
      </c>
      <c r="L1160" s="199">
        <v>1.43</v>
      </c>
    </row>
    <row r="1161" spans="1:12" ht="15" customHeight="1" x14ac:dyDescent="0.25">
      <c r="A1161" s="49">
        <v>1987</v>
      </c>
      <c r="B1161" s="330" t="s">
        <v>34</v>
      </c>
      <c r="C1161" s="331">
        <v>6433687120</v>
      </c>
      <c r="D1161" s="331">
        <v>3505568851</v>
      </c>
      <c r="E1161" s="331">
        <v>66900937</v>
      </c>
      <c r="F1161" s="331">
        <v>68944</v>
      </c>
      <c r="G1161" s="332">
        <f t="shared" si="36"/>
        <v>1.0716094630352494E-5</v>
      </c>
      <c r="H1161" s="331">
        <v>120187</v>
      </c>
      <c r="I1161" s="331">
        <v>0</v>
      </c>
      <c r="J1161" s="331">
        <f t="shared" si="37"/>
        <v>120187</v>
      </c>
      <c r="K1161" s="199">
        <v>1.91</v>
      </c>
      <c r="L1161" s="199">
        <v>1.43</v>
      </c>
    </row>
    <row r="1162" spans="1:12" ht="15" customHeight="1" x14ac:dyDescent="0.25">
      <c r="A1162" s="49">
        <v>1988</v>
      </c>
      <c r="B1162" s="330" t="s">
        <v>34</v>
      </c>
      <c r="C1162" s="331">
        <v>6832895318</v>
      </c>
      <c r="D1162" s="331">
        <v>3651908667</v>
      </c>
      <c r="E1162" s="331">
        <v>69256422</v>
      </c>
      <c r="F1162" s="331">
        <v>56290</v>
      </c>
      <c r="G1162" s="332">
        <f t="shared" si="36"/>
        <v>8.2380890355094997E-6</v>
      </c>
      <c r="H1162" s="331">
        <v>145777</v>
      </c>
      <c r="I1162" s="331">
        <v>0</v>
      </c>
      <c r="J1162" s="331">
        <f t="shared" si="37"/>
        <v>145777</v>
      </c>
      <c r="K1162" s="199">
        <v>1.9</v>
      </c>
      <c r="L1162" s="199">
        <v>1.43</v>
      </c>
    </row>
    <row r="1163" spans="1:12" ht="15" customHeight="1" x14ac:dyDescent="0.25">
      <c r="A1163" s="49">
        <v>1989</v>
      </c>
      <c r="B1163" s="330" t="s">
        <v>34</v>
      </c>
      <c r="C1163" s="331">
        <v>7175917698</v>
      </c>
      <c r="D1163" s="331">
        <v>3852763427</v>
      </c>
      <c r="E1163" s="331">
        <v>70560690</v>
      </c>
      <c r="F1163" s="331">
        <v>51634</v>
      </c>
      <c r="G1163" s="332">
        <f t="shared" si="36"/>
        <v>7.1954559922546092E-6</v>
      </c>
      <c r="H1163" s="331">
        <v>174401</v>
      </c>
      <c r="I1163" s="331">
        <v>0</v>
      </c>
      <c r="J1163" s="331">
        <f t="shared" si="37"/>
        <v>174401</v>
      </c>
      <c r="K1163" s="199">
        <v>1.83</v>
      </c>
      <c r="L1163" s="199">
        <v>1.43</v>
      </c>
    </row>
    <row r="1164" spans="1:12" ht="15" customHeight="1" x14ac:dyDescent="0.25">
      <c r="A1164" s="49">
        <v>1990</v>
      </c>
      <c r="B1164" s="330" t="s">
        <v>34</v>
      </c>
      <c r="C1164" s="331">
        <v>7700684661</v>
      </c>
      <c r="D1164" s="331">
        <v>4113865593</v>
      </c>
      <c r="E1164" s="331">
        <v>62709583</v>
      </c>
      <c r="F1164" s="331">
        <v>50674</v>
      </c>
      <c r="G1164" s="332">
        <f t="shared" si="36"/>
        <v>6.5804538467388105E-6</v>
      </c>
      <c r="H1164" s="331">
        <v>205275</v>
      </c>
      <c r="I1164" s="331">
        <v>0</v>
      </c>
      <c r="J1164" s="331">
        <f t="shared" si="37"/>
        <v>205275</v>
      </c>
      <c r="K1164" s="199">
        <v>1.52</v>
      </c>
      <c r="L1164" s="199">
        <v>1.43</v>
      </c>
    </row>
    <row r="1165" spans="1:12" ht="15" customHeight="1" x14ac:dyDescent="0.25">
      <c r="A1165" s="49">
        <v>1991</v>
      </c>
      <c r="B1165" s="330" t="s">
        <v>34</v>
      </c>
      <c r="C1165" s="331">
        <v>8093920944</v>
      </c>
      <c r="D1165" s="331">
        <v>4282832578</v>
      </c>
      <c r="E1165" s="331">
        <v>64070606</v>
      </c>
      <c r="F1165" s="331">
        <v>66696</v>
      </c>
      <c r="G1165" s="332">
        <f t="shared" si="36"/>
        <v>8.2402583941027427E-6</v>
      </c>
      <c r="H1165" s="331">
        <v>220932</v>
      </c>
      <c r="I1165" s="331">
        <v>0</v>
      </c>
      <c r="J1165" s="331">
        <f t="shared" si="37"/>
        <v>220932</v>
      </c>
      <c r="K1165" s="199">
        <v>1.5</v>
      </c>
      <c r="L1165" s="199">
        <v>1.43</v>
      </c>
    </row>
    <row r="1166" spans="1:12" ht="15" customHeight="1" x14ac:dyDescent="0.25">
      <c r="A1166" s="49">
        <v>1992</v>
      </c>
      <c r="B1166" s="330" t="s">
        <v>34</v>
      </c>
      <c r="C1166" s="331">
        <v>8633188852</v>
      </c>
      <c r="D1166" s="331">
        <v>4534428725</v>
      </c>
      <c r="E1166" s="331">
        <v>69552330</v>
      </c>
      <c r="F1166" s="331">
        <v>66600</v>
      </c>
      <c r="G1166" s="332">
        <f t="shared" si="36"/>
        <v>7.7144148172515841E-6</v>
      </c>
      <c r="H1166" s="331">
        <v>238999</v>
      </c>
      <c r="I1166" s="331">
        <v>0</v>
      </c>
      <c r="J1166" s="331">
        <f t="shared" si="37"/>
        <v>238999</v>
      </c>
      <c r="K1166" s="199">
        <v>1.53</v>
      </c>
      <c r="L1166" s="199">
        <v>1.43</v>
      </c>
    </row>
    <row r="1167" spans="1:12" ht="15" customHeight="1" x14ac:dyDescent="0.25">
      <c r="A1167" s="49">
        <v>1993</v>
      </c>
      <c r="B1167" s="330" t="s">
        <v>34</v>
      </c>
      <c r="C1167" s="331">
        <v>9333045372</v>
      </c>
      <c r="D1167" s="331">
        <v>4957602643</v>
      </c>
      <c r="E1167" s="331">
        <v>77976026</v>
      </c>
      <c r="F1167" s="331">
        <v>57449</v>
      </c>
      <c r="G1167" s="332">
        <f t="shared" si="36"/>
        <v>6.15543991378766E-6</v>
      </c>
      <c r="H1167" s="331">
        <v>271194</v>
      </c>
      <c r="I1167" s="331">
        <v>0</v>
      </c>
      <c r="J1167" s="331">
        <f t="shared" si="37"/>
        <v>271194</v>
      </c>
      <c r="K1167" s="199">
        <v>1.57</v>
      </c>
      <c r="L1167" s="199">
        <v>1.43</v>
      </c>
    </row>
    <row r="1168" spans="1:12" ht="15" customHeight="1" x14ac:dyDescent="0.25">
      <c r="A1168" s="49">
        <v>1994</v>
      </c>
      <c r="B1168" s="330" t="s">
        <v>34</v>
      </c>
      <c r="C1168" s="331">
        <v>10132337295</v>
      </c>
      <c r="D1168" s="331">
        <v>5436565883</v>
      </c>
      <c r="E1168" s="331">
        <v>86826827</v>
      </c>
      <c r="F1168" s="331">
        <v>62405</v>
      </c>
      <c r="G1168" s="332">
        <f t="shared" si="36"/>
        <v>6.1589935454275657E-6</v>
      </c>
      <c r="H1168" s="331">
        <v>317264</v>
      </c>
      <c r="I1168" s="331">
        <v>0</v>
      </c>
      <c r="J1168" s="331">
        <f t="shared" si="37"/>
        <v>317264</v>
      </c>
      <c r="K1168" s="199">
        <v>1.6</v>
      </c>
      <c r="L1168" s="199">
        <v>1.43</v>
      </c>
    </row>
    <row r="1169" spans="1:12" ht="15" customHeight="1" x14ac:dyDescent="0.25">
      <c r="A1169" s="49">
        <v>1995</v>
      </c>
      <c r="B1169" s="330" t="s">
        <v>34</v>
      </c>
      <c r="C1169" s="331">
        <v>10851018115</v>
      </c>
      <c r="D1169" s="331">
        <v>5873906163</v>
      </c>
      <c r="E1169" s="331">
        <v>78334663</v>
      </c>
      <c r="F1169" s="331">
        <v>65176</v>
      </c>
      <c r="G1169" s="332">
        <f t="shared" si="36"/>
        <v>6.0064409909981983E-6</v>
      </c>
      <c r="H1169" s="331">
        <v>354874</v>
      </c>
      <c r="I1169" s="331">
        <v>0</v>
      </c>
      <c r="J1169" s="331">
        <f t="shared" si="37"/>
        <v>354874</v>
      </c>
      <c r="K1169" s="199">
        <v>1.33</v>
      </c>
      <c r="L1169" s="199">
        <v>1.4</v>
      </c>
    </row>
    <row r="1170" spans="1:12" ht="15" customHeight="1" x14ac:dyDescent="0.25">
      <c r="A1170" s="49">
        <v>1996</v>
      </c>
      <c r="B1170" s="330" t="s">
        <v>34</v>
      </c>
      <c r="C1170" s="331">
        <v>11391228265</v>
      </c>
      <c r="D1170" s="331">
        <v>6163671776</v>
      </c>
      <c r="E1170" s="331">
        <v>82227983</v>
      </c>
      <c r="F1170" s="331">
        <v>73777</v>
      </c>
      <c r="G1170" s="332">
        <f t="shared" si="36"/>
        <v>6.4766501279482527E-6</v>
      </c>
      <c r="H1170" s="331">
        <v>385531</v>
      </c>
      <c r="I1170" s="331">
        <v>0</v>
      </c>
      <c r="J1170" s="331">
        <f t="shared" si="37"/>
        <v>385531</v>
      </c>
      <c r="K1170" s="199">
        <v>1.33</v>
      </c>
      <c r="L1170" s="199">
        <v>1.4</v>
      </c>
    </row>
    <row r="1171" spans="1:12" ht="15" customHeight="1" x14ac:dyDescent="0.25">
      <c r="A1171" s="49">
        <v>1997</v>
      </c>
      <c r="B1171" s="330" t="s">
        <v>34</v>
      </c>
      <c r="C1171" s="331">
        <v>12118686368</v>
      </c>
      <c r="D1171" s="331">
        <v>6499207695</v>
      </c>
      <c r="E1171" s="331">
        <v>90199178</v>
      </c>
      <c r="F1171" s="331">
        <v>69669</v>
      </c>
      <c r="G1171" s="332">
        <f t="shared" si="36"/>
        <v>5.7488904229722866E-6</v>
      </c>
      <c r="H1171" s="331">
        <v>431159</v>
      </c>
      <c r="I1171" s="331">
        <v>0</v>
      </c>
      <c r="J1171" s="331">
        <f t="shared" si="37"/>
        <v>431159</v>
      </c>
      <c r="K1171" s="199">
        <v>1.39</v>
      </c>
      <c r="L1171" s="199">
        <v>1.4</v>
      </c>
    </row>
    <row r="1172" spans="1:12" ht="15" customHeight="1" x14ac:dyDescent="0.25">
      <c r="A1172" s="49">
        <v>1998</v>
      </c>
      <c r="B1172" s="330" t="s">
        <v>34</v>
      </c>
      <c r="C1172" s="331">
        <v>12820563679</v>
      </c>
      <c r="D1172" s="331">
        <v>6884978271</v>
      </c>
      <c r="E1172" s="331">
        <v>95983168</v>
      </c>
      <c r="F1172" s="331">
        <v>79554</v>
      </c>
      <c r="G1172" s="332">
        <f t="shared" si="36"/>
        <v>6.2051873842574441E-6</v>
      </c>
      <c r="H1172" s="331">
        <v>478112</v>
      </c>
      <c r="I1172" s="331">
        <v>0</v>
      </c>
      <c r="J1172" s="331">
        <f t="shared" si="37"/>
        <v>478112</v>
      </c>
      <c r="K1172" s="199">
        <v>1.39</v>
      </c>
      <c r="L1172" s="199">
        <v>1.4</v>
      </c>
    </row>
    <row r="1173" spans="1:12" ht="15" customHeight="1" x14ac:dyDescent="0.25">
      <c r="A1173" s="49">
        <v>1999</v>
      </c>
      <c r="B1173" s="330" t="s">
        <v>34</v>
      </c>
      <c r="C1173" s="331">
        <v>13338190057</v>
      </c>
      <c r="D1173" s="331">
        <v>6903332839</v>
      </c>
      <c r="E1173" s="331">
        <v>79932404</v>
      </c>
      <c r="F1173" s="331">
        <v>80692</v>
      </c>
      <c r="G1173" s="332">
        <f t="shared" si="36"/>
        <v>6.0496963722339622E-6</v>
      </c>
      <c r="H1173" s="331">
        <v>511440</v>
      </c>
      <c r="I1173" s="331">
        <v>0</v>
      </c>
      <c r="J1173" s="331">
        <f t="shared" si="37"/>
        <v>511440</v>
      </c>
      <c r="K1173" s="199">
        <v>1.1599999999999999</v>
      </c>
      <c r="L1173" s="199">
        <v>1.4</v>
      </c>
    </row>
    <row r="1174" spans="1:12" ht="15" customHeight="1" x14ac:dyDescent="0.25">
      <c r="A1174" s="49">
        <v>2000</v>
      </c>
      <c r="B1174" s="330" t="s">
        <v>34</v>
      </c>
      <c r="C1174" s="331">
        <v>14352557702</v>
      </c>
      <c r="D1174" s="331">
        <v>7397990421</v>
      </c>
      <c r="E1174" s="331">
        <v>86402310</v>
      </c>
      <c r="F1174" s="331">
        <v>67742</v>
      </c>
      <c r="G1174" s="332">
        <f t="shared" si="36"/>
        <v>4.7198556108616299E-6</v>
      </c>
      <c r="H1174" s="331">
        <v>561517</v>
      </c>
      <c r="I1174" s="331">
        <v>0</v>
      </c>
      <c r="J1174" s="331">
        <f t="shared" si="37"/>
        <v>561517</v>
      </c>
      <c r="K1174" s="199">
        <v>1.17</v>
      </c>
      <c r="L1174" s="199">
        <v>1.4</v>
      </c>
    </row>
    <row r="1175" spans="1:12" ht="15" customHeight="1" x14ac:dyDescent="0.25">
      <c r="A1175" s="49">
        <v>2001</v>
      </c>
      <c r="B1175" s="330" t="s">
        <v>34</v>
      </c>
      <c r="C1175" s="331">
        <v>15172853979</v>
      </c>
      <c r="D1175" s="331">
        <v>7788447036</v>
      </c>
      <c r="E1175" s="331">
        <v>69636550</v>
      </c>
      <c r="F1175" s="331">
        <v>91777</v>
      </c>
      <c r="G1175" s="332">
        <f t="shared" si="36"/>
        <v>6.0487631481212453E-6</v>
      </c>
      <c r="H1175" s="331">
        <v>581350</v>
      </c>
      <c r="I1175" s="331">
        <v>0</v>
      </c>
      <c r="J1175" s="331">
        <f t="shared" si="37"/>
        <v>581350</v>
      </c>
      <c r="K1175" s="199">
        <v>0.89</v>
      </c>
      <c r="L1175" s="199">
        <v>1.4</v>
      </c>
    </row>
    <row r="1176" spans="1:12" ht="15" customHeight="1" x14ac:dyDescent="0.25">
      <c r="A1176" s="49">
        <v>2002</v>
      </c>
      <c r="B1176" s="330" t="s">
        <v>34</v>
      </c>
      <c r="C1176" s="331">
        <v>15520110645</v>
      </c>
      <c r="D1176" s="331">
        <v>8036840949</v>
      </c>
      <c r="E1176" s="331">
        <v>72598821</v>
      </c>
      <c r="F1176" s="331">
        <v>126690</v>
      </c>
      <c r="G1176" s="332">
        <f t="shared" si="36"/>
        <v>8.162957268659344E-6</v>
      </c>
      <c r="H1176" s="331">
        <v>599782</v>
      </c>
      <c r="I1176" s="331">
        <v>0</v>
      </c>
      <c r="J1176" s="331">
        <f t="shared" si="37"/>
        <v>599782</v>
      </c>
      <c r="K1176" s="199">
        <v>0.9</v>
      </c>
      <c r="L1176" s="199">
        <v>1.4</v>
      </c>
    </row>
    <row r="1177" spans="1:12" ht="15" customHeight="1" x14ac:dyDescent="0.25">
      <c r="A1177" s="49">
        <v>2003</v>
      </c>
      <c r="B1177" s="330" t="s">
        <v>34</v>
      </c>
      <c r="C1177" s="331">
        <v>16131600691</v>
      </c>
      <c r="D1177" s="331">
        <v>8408107568</v>
      </c>
      <c r="E1177" s="331">
        <v>82429428</v>
      </c>
      <c r="F1177" s="331">
        <v>125102</v>
      </c>
      <c r="G1177" s="332">
        <f t="shared" si="36"/>
        <v>7.7550890575785075E-6</v>
      </c>
      <c r="H1177" s="331">
        <v>588757</v>
      </c>
      <c r="I1177" s="331">
        <v>0</v>
      </c>
      <c r="J1177" s="331">
        <f t="shared" si="37"/>
        <v>588757</v>
      </c>
      <c r="K1177" s="199">
        <v>0.98</v>
      </c>
      <c r="L1177" s="199">
        <v>1.4</v>
      </c>
    </row>
    <row r="1178" spans="1:12" ht="15" customHeight="1" x14ac:dyDescent="0.25">
      <c r="A1178" s="49">
        <v>2004</v>
      </c>
      <c r="B1178" s="330" t="s">
        <v>34</v>
      </c>
      <c r="C1178" s="331">
        <v>17152696576</v>
      </c>
      <c r="D1178" s="331">
        <v>8782665329</v>
      </c>
      <c r="E1178" s="331">
        <v>70778371</v>
      </c>
      <c r="F1178" s="331">
        <v>117576</v>
      </c>
      <c r="G1178" s="332">
        <f t="shared" si="36"/>
        <v>6.8546656485786596E-6</v>
      </c>
      <c r="H1178" s="331">
        <v>561621</v>
      </c>
      <c r="I1178" s="331">
        <v>0</v>
      </c>
      <c r="J1178" s="331">
        <f t="shared" si="37"/>
        <v>561621</v>
      </c>
      <c r="K1178" s="199">
        <v>0.81</v>
      </c>
      <c r="L1178" s="199">
        <v>1.4</v>
      </c>
    </row>
    <row r="1179" spans="1:12" ht="15" customHeight="1" x14ac:dyDescent="0.25">
      <c r="A1179" s="49">
        <v>2005</v>
      </c>
      <c r="B1179" s="330" t="s">
        <v>34</v>
      </c>
      <c r="C1179" s="331">
        <v>18311832633</v>
      </c>
      <c r="D1179" s="331">
        <v>9302456772</v>
      </c>
      <c r="E1179" s="331">
        <v>84994423</v>
      </c>
      <c r="F1179" s="331">
        <v>104664</v>
      </c>
      <c r="G1179" s="332">
        <f t="shared" si="36"/>
        <v>5.7156485698424084E-6</v>
      </c>
      <c r="H1179" s="331">
        <v>557919</v>
      </c>
      <c r="I1179" s="331">
        <v>0</v>
      </c>
      <c r="J1179" s="331">
        <f t="shared" si="37"/>
        <v>557919</v>
      </c>
      <c r="K1179" s="199">
        <v>0.91</v>
      </c>
      <c r="L1179" s="199">
        <v>1.4</v>
      </c>
    </row>
    <row r="1180" spans="1:12" ht="15" customHeight="1" x14ac:dyDescent="0.25">
      <c r="A1180" s="49">
        <v>2006</v>
      </c>
      <c r="B1180" s="330" t="s">
        <v>34</v>
      </c>
      <c r="C1180" s="331">
        <v>20370054880</v>
      </c>
      <c r="D1180" s="331">
        <v>10261449370</v>
      </c>
      <c r="E1180" s="331">
        <v>99705822</v>
      </c>
      <c r="F1180" s="331">
        <v>105061</v>
      </c>
      <c r="G1180" s="332">
        <f t="shared" si="36"/>
        <v>5.1576198797162987E-6</v>
      </c>
      <c r="H1180" s="331">
        <v>578168</v>
      </c>
      <c r="I1180" s="331">
        <v>0</v>
      </c>
      <c r="J1180" s="331">
        <f t="shared" si="37"/>
        <v>578168</v>
      </c>
      <c r="K1180" s="199">
        <v>0.97</v>
      </c>
      <c r="L1180" s="199">
        <v>1.4</v>
      </c>
    </row>
    <row r="1181" spans="1:12" ht="15" customHeight="1" x14ac:dyDescent="0.25">
      <c r="A1181" s="49">
        <v>2007</v>
      </c>
      <c r="B1181" s="330" t="s">
        <v>34</v>
      </c>
      <c r="C1181" s="331">
        <v>21905063674</v>
      </c>
      <c r="D1181" s="331">
        <v>10849038176</v>
      </c>
      <c r="E1181" s="331">
        <v>103528767</v>
      </c>
      <c r="F1181" s="331">
        <v>128465</v>
      </c>
      <c r="G1181" s="332">
        <f t="shared" si="36"/>
        <v>5.8646257281817571E-6</v>
      </c>
      <c r="H1181" s="331">
        <v>575524</v>
      </c>
      <c r="I1181" s="331">
        <v>0</v>
      </c>
      <c r="J1181" s="331">
        <f t="shared" si="37"/>
        <v>575524</v>
      </c>
      <c r="K1181" s="199">
        <v>0.95</v>
      </c>
      <c r="L1181" s="199">
        <v>1.4</v>
      </c>
    </row>
    <row r="1182" spans="1:12" ht="15" customHeight="1" x14ac:dyDescent="0.25">
      <c r="A1182" s="49">
        <v>2008</v>
      </c>
      <c r="B1182" s="330" t="s">
        <v>34</v>
      </c>
      <c r="C1182" s="331">
        <v>22772490648</v>
      </c>
      <c r="D1182" s="331">
        <v>11583256644</v>
      </c>
      <c r="E1182" s="331">
        <v>112156082</v>
      </c>
      <c r="F1182" s="331">
        <v>169964</v>
      </c>
      <c r="G1182" s="332">
        <f t="shared" si="36"/>
        <v>7.4635665736864463E-6</v>
      </c>
      <c r="H1182" s="331">
        <v>512785</v>
      </c>
      <c r="I1182" s="331">
        <v>0</v>
      </c>
      <c r="J1182" s="331">
        <f t="shared" si="37"/>
        <v>512785</v>
      </c>
      <c r="K1182" s="199">
        <v>1</v>
      </c>
      <c r="L1182" s="199">
        <v>1.4</v>
      </c>
    </row>
    <row r="1183" spans="1:12" ht="15" customHeight="1" x14ac:dyDescent="0.25">
      <c r="A1183" s="49">
        <v>2009</v>
      </c>
      <c r="B1183" s="330" t="s">
        <v>34</v>
      </c>
      <c r="C1183" s="331">
        <v>21628652246</v>
      </c>
      <c r="D1183" s="331">
        <v>11143903878</v>
      </c>
      <c r="E1183" s="331">
        <v>123905263</v>
      </c>
      <c r="F1183" s="331">
        <v>349514</v>
      </c>
      <c r="G1183" s="332">
        <f t="shared" si="36"/>
        <v>1.6159767886815002E-5</v>
      </c>
      <c r="H1183" s="331">
        <v>281026</v>
      </c>
      <c r="I1183" s="331">
        <v>0</v>
      </c>
      <c r="J1183" s="331">
        <f t="shared" si="37"/>
        <v>281026</v>
      </c>
      <c r="K1183" s="199">
        <v>1.1000000000000001</v>
      </c>
      <c r="L1183" s="199">
        <v>1.0900000000000001</v>
      </c>
    </row>
    <row r="1184" spans="1:12" ht="15" customHeight="1" x14ac:dyDescent="0.25">
      <c r="A1184" s="49">
        <v>2010</v>
      </c>
      <c r="B1184" s="330" t="s">
        <v>34</v>
      </c>
      <c r="C1184" s="331">
        <v>21801352276</v>
      </c>
      <c r="D1184" s="331">
        <v>10982035152</v>
      </c>
      <c r="E1184" s="331">
        <v>151375348</v>
      </c>
      <c r="F1184" s="331">
        <v>327716</v>
      </c>
      <c r="G1184" s="332">
        <f t="shared" si="36"/>
        <v>1.5031911592051374E-5</v>
      </c>
      <c r="H1184" s="331">
        <v>224869</v>
      </c>
      <c r="I1184" s="331">
        <v>0</v>
      </c>
      <c r="J1184" s="331">
        <f t="shared" si="37"/>
        <v>224869</v>
      </c>
      <c r="K1184" s="199">
        <v>1.4</v>
      </c>
      <c r="L1184" s="199">
        <v>1.32</v>
      </c>
    </row>
    <row r="1185" spans="1:12" ht="15" customHeight="1" x14ac:dyDescent="0.25">
      <c r="A1185" s="49">
        <v>2011</v>
      </c>
      <c r="B1185" s="330" t="s">
        <v>34</v>
      </c>
      <c r="C1185" s="331">
        <v>22347482322</v>
      </c>
      <c r="D1185" s="331">
        <v>11467907080</v>
      </c>
      <c r="E1185" s="331">
        <v>192222441</v>
      </c>
      <c r="F1185" s="331">
        <v>268167</v>
      </c>
      <c r="G1185" s="332">
        <f t="shared" si="36"/>
        <v>1.1999875249302815E-5</v>
      </c>
      <c r="H1185" s="331">
        <v>108235</v>
      </c>
      <c r="I1185" s="331">
        <v>0</v>
      </c>
      <c r="J1185" s="331">
        <f t="shared" si="37"/>
        <v>108235</v>
      </c>
      <c r="K1185" s="199">
        <v>1.7</v>
      </c>
      <c r="L1185" s="199">
        <v>1.44</v>
      </c>
    </row>
    <row r="1186" spans="1:12" ht="15" customHeight="1" x14ac:dyDescent="0.25">
      <c r="A1186" s="49">
        <v>2012</v>
      </c>
      <c r="B1186" s="330" t="s">
        <v>34</v>
      </c>
      <c r="C1186" s="331">
        <v>23078954017</v>
      </c>
      <c r="D1186" s="331">
        <v>11867034186</v>
      </c>
      <c r="E1186" s="331">
        <v>189250586</v>
      </c>
      <c r="F1186" s="331">
        <v>229740</v>
      </c>
      <c r="G1186" s="332">
        <f t="shared" si="36"/>
        <v>9.9545239281976591E-6</v>
      </c>
      <c r="H1186" s="331">
        <v>67304</v>
      </c>
      <c r="I1186" s="331">
        <v>0</v>
      </c>
      <c r="J1186" s="331">
        <f t="shared" si="37"/>
        <v>67304</v>
      </c>
      <c r="K1186" s="199">
        <v>1.59</v>
      </c>
      <c r="L1186" s="199">
        <v>1.44</v>
      </c>
    </row>
    <row r="1187" spans="1:12" ht="15" customHeight="1" x14ac:dyDescent="0.25">
      <c r="A1187" s="49">
        <v>2013</v>
      </c>
      <c r="B1187" s="330" t="s">
        <v>34</v>
      </c>
      <c r="C1187" s="331">
        <v>23421280091</v>
      </c>
      <c r="D1187" s="331">
        <v>12374573039</v>
      </c>
      <c r="E1187" s="331">
        <v>201811649</v>
      </c>
      <c r="F1187" s="331">
        <v>220538</v>
      </c>
      <c r="G1187" s="332">
        <f t="shared" si="36"/>
        <v>9.4161377663019041E-6</v>
      </c>
      <c r="H1187" s="331">
        <v>56769</v>
      </c>
      <c r="I1187" s="331">
        <v>0</v>
      </c>
      <c r="J1187" s="331">
        <f t="shared" si="37"/>
        <v>56769</v>
      </c>
      <c r="K1187" s="199">
        <v>1.63</v>
      </c>
      <c r="L1187" s="199">
        <v>1.44</v>
      </c>
    </row>
    <row r="1188" spans="1:12" ht="15" customHeight="1" x14ac:dyDescent="0.25">
      <c r="A1188" s="49">
        <v>2014</v>
      </c>
      <c r="B1188" s="330" t="s">
        <v>34</v>
      </c>
      <c r="C1188" s="331">
        <v>24372366457</v>
      </c>
      <c r="D1188" s="331">
        <v>12644360386</v>
      </c>
      <c r="E1188" s="331">
        <v>196307267</v>
      </c>
      <c r="F1188" s="331">
        <v>184145</v>
      </c>
      <c r="G1188" s="332">
        <f t="shared" si="36"/>
        <v>7.5554829821259159E-6</v>
      </c>
      <c r="H1188" s="331">
        <v>84291</v>
      </c>
      <c r="I1188" s="331">
        <v>0</v>
      </c>
      <c r="J1188" s="331">
        <f t="shared" si="37"/>
        <v>84291</v>
      </c>
      <c r="K1188" s="333">
        <v>1.5525282498065616</v>
      </c>
      <c r="L1188" s="199">
        <v>1.44</v>
      </c>
    </row>
    <row r="1189" spans="1:12" ht="15" customHeight="1" x14ac:dyDescent="0.25">
      <c r="A1189" s="49">
        <v>2015</v>
      </c>
      <c r="B1189" s="330" t="s">
        <v>34</v>
      </c>
      <c r="C1189" s="334">
        <v>24918945000</v>
      </c>
      <c r="D1189" s="334">
        <v>12877008000</v>
      </c>
      <c r="E1189" s="334">
        <v>324566000</v>
      </c>
      <c r="F1189" s="331">
        <v>156163</v>
      </c>
      <c r="G1189" s="332">
        <f t="shared" si="36"/>
        <v>6.2668383432765712E-6</v>
      </c>
      <c r="H1189" s="331">
        <v>250993</v>
      </c>
      <c r="I1189" s="199">
        <v>0</v>
      </c>
      <c r="J1189" s="331">
        <f t="shared" si="37"/>
        <v>250993</v>
      </c>
      <c r="K1189" s="199">
        <v>2.7</v>
      </c>
      <c r="L1189" s="199">
        <v>1.44</v>
      </c>
    </row>
    <row r="1190" spans="1:12" ht="15" customHeight="1" x14ac:dyDescent="0.25">
      <c r="A1190" s="49">
        <v>1980</v>
      </c>
      <c r="B1190" s="330" t="s">
        <v>35</v>
      </c>
      <c r="C1190" s="331">
        <v>4729219611</v>
      </c>
      <c r="D1190" s="331">
        <v>2771170423</v>
      </c>
      <c r="E1190" s="331">
        <v>83124178</v>
      </c>
      <c r="F1190" s="331">
        <v>53230</v>
      </c>
      <c r="G1190" s="332">
        <f t="shared" si="36"/>
        <v>1.125555681030098E-5</v>
      </c>
      <c r="H1190" s="331">
        <v>134830</v>
      </c>
      <c r="I1190" s="331">
        <v>0</v>
      </c>
      <c r="J1190" s="331">
        <f t="shared" si="37"/>
        <v>134830</v>
      </c>
      <c r="K1190" s="199">
        <v>3</v>
      </c>
      <c r="L1190" s="199">
        <v>2.0499999999999998</v>
      </c>
    </row>
    <row r="1191" spans="1:12" x14ac:dyDescent="0.25">
      <c r="A1191" s="49">
        <v>1981</v>
      </c>
      <c r="B1191" s="330" t="s">
        <v>35</v>
      </c>
      <c r="C1191" s="331">
        <v>5346608176</v>
      </c>
      <c r="D1191" s="331">
        <v>3071437224</v>
      </c>
      <c r="E1191" s="331">
        <v>73918257</v>
      </c>
      <c r="F1191" s="331">
        <v>65533</v>
      </c>
      <c r="G1191" s="332">
        <f t="shared" si="36"/>
        <v>1.2256929597752517E-5</v>
      </c>
      <c r="H1191" s="331">
        <v>157786</v>
      </c>
      <c r="I1191" s="331">
        <v>0</v>
      </c>
      <c r="J1191" s="331">
        <f t="shared" si="37"/>
        <v>157786</v>
      </c>
      <c r="K1191" s="199">
        <v>2.41</v>
      </c>
      <c r="L1191" s="199">
        <v>2.0499999999999998</v>
      </c>
    </row>
    <row r="1192" spans="1:12" ht="15" customHeight="1" x14ac:dyDescent="0.25">
      <c r="A1192" s="49">
        <v>1982</v>
      </c>
      <c r="B1192" s="330" t="s">
        <v>35</v>
      </c>
      <c r="C1192" s="331">
        <v>5425988722</v>
      </c>
      <c r="D1192" s="331">
        <v>3107315905</v>
      </c>
      <c r="E1192" s="331">
        <v>55407825</v>
      </c>
      <c r="F1192" s="331">
        <v>103764</v>
      </c>
      <c r="G1192" s="332">
        <f t="shared" si="36"/>
        <v>1.9123519291384182E-5</v>
      </c>
      <c r="H1192" s="331">
        <v>122431</v>
      </c>
      <c r="I1192" s="331">
        <v>0</v>
      </c>
      <c r="J1192" s="331">
        <f t="shared" si="37"/>
        <v>122431</v>
      </c>
      <c r="K1192" s="199">
        <v>1.78</v>
      </c>
      <c r="L1192" s="199">
        <v>2.12</v>
      </c>
    </row>
    <row r="1193" spans="1:12" ht="15" customHeight="1" x14ac:dyDescent="0.25">
      <c r="A1193" s="49">
        <v>1983</v>
      </c>
      <c r="B1193" s="330" t="s">
        <v>35</v>
      </c>
      <c r="C1193" s="331">
        <v>5664673998</v>
      </c>
      <c r="D1193" s="331">
        <v>3325050596</v>
      </c>
      <c r="E1193" s="331">
        <v>75142761</v>
      </c>
      <c r="F1193" s="331">
        <v>95304</v>
      </c>
      <c r="G1193" s="332">
        <f t="shared" si="36"/>
        <v>1.682426915187856E-5</v>
      </c>
      <c r="H1193" s="331">
        <v>99999</v>
      </c>
      <c r="I1193" s="331">
        <v>0</v>
      </c>
      <c r="J1193" s="331">
        <f t="shared" si="37"/>
        <v>99999</v>
      </c>
      <c r="K1193" s="199">
        <v>2.2599999999999998</v>
      </c>
      <c r="L1193" s="199">
        <v>2.12</v>
      </c>
    </row>
    <row r="1194" spans="1:12" ht="15" customHeight="1" x14ac:dyDescent="0.25">
      <c r="A1194" s="49">
        <v>1984</v>
      </c>
      <c r="B1194" s="330" t="s">
        <v>35</v>
      </c>
      <c r="C1194" s="331">
        <v>6197671540</v>
      </c>
      <c r="D1194" s="331">
        <v>3698858078</v>
      </c>
      <c r="E1194" s="331">
        <v>103555742</v>
      </c>
      <c r="F1194" s="331">
        <v>67324</v>
      </c>
      <c r="G1194" s="332">
        <f t="shared" si="36"/>
        <v>1.0862789285538678E-5</v>
      </c>
      <c r="H1194" s="331">
        <v>141907</v>
      </c>
      <c r="I1194" s="331">
        <v>0</v>
      </c>
      <c r="J1194" s="331">
        <f t="shared" si="37"/>
        <v>141907</v>
      </c>
      <c r="K1194" s="199">
        <v>2.8</v>
      </c>
      <c r="L1194" s="199">
        <v>2.12</v>
      </c>
    </row>
    <row r="1195" spans="1:12" ht="15" customHeight="1" x14ac:dyDescent="0.25">
      <c r="A1195" s="49">
        <v>1985</v>
      </c>
      <c r="B1195" s="330" t="s">
        <v>35</v>
      </c>
      <c r="C1195" s="331">
        <v>6704669434</v>
      </c>
      <c r="D1195" s="331">
        <v>3984657831</v>
      </c>
      <c r="E1195" s="331">
        <v>94355789</v>
      </c>
      <c r="F1195" s="331">
        <v>70211</v>
      </c>
      <c r="G1195" s="332">
        <f t="shared" si="36"/>
        <v>1.0471955506703062E-5</v>
      </c>
      <c r="H1195" s="331">
        <v>183542</v>
      </c>
      <c r="I1195" s="331">
        <v>0</v>
      </c>
      <c r="J1195" s="331">
        <f t="shared" si="37"/>
        <v>183542</v>
      </c>
      <c r="K1195" s="199">
        <v>2.37</v>
      </c>
      <c r="L1195" s="199">
        <v>2.12</v>
      </c>
    </row>
    <row r="1196" spans="1:12" ht="15" customHeight="1" x14ac:dyDescent="0.25">
      <c r="A1196" s="49">
        <v>1986</v>
      </c>
      <c r="B1196" s="330" t="s">
        <v>35</v>
      </c>
      <c r="C1196" s="331">
        <v>7249996347</v>
      </c>
      <c r="D1196" s="331">
        <v>4280014842</v>
      </c>
      <c r="E1196" s="331">
        <v>78786521</v>
      </c>
      <c r="F1196" s="331">
        <v>74544</v>
      </c>
      <c r="G1196" s="332">
        <f t="shared" si="36"/>
        <v>1.0281936215160413E-5</v>
      </c>
      <c r="H1196" s="331">
        <v>208306</v>
      </c>
      <c r="I1196" s="331">
        <v>0</v>
      </c>
      <c r="J1196" s="331">
        <f t="shared" si="37"/>
        <v>208306</v>
      </c>
      <c r="K1196" s="199">
        <v>1.84</v>
      </c>
      <c r="L1196" s="199">
        <v>2.12</v>
      </c>
    </row>
    <row r="1197" spans="1:12" ht="15" customHeight="1" x14ac:dyDescent="0.25">
      <c r="A1197" s="49">
        <v>1987</v>
      </c>
      <c r="B1197" s="330" t="s">
        <v>35</v>
      </c>
      <c r="C1197" s="331">
        <v>8114917438</v>
      </c>
      <c r="D1197" s="331">
        <v>4736774626</v>
      </c>
      <c r="E1197" s="331">
        <v>78247308</v>
      </c>
      <c r="F1197" s="331">
        <v>67209</v>
      </c>
      <c r="G1197" s="332">
        <f t="shared" si="36"/>
        <v>8.2821545029254559E-6</v>
      </c>
      <c r="H1197" s="331">
        <v>235906</v>
      </c>
      <c r="I1197" s="331">
        <v>0</v>
      </c>
      <c r="J1197" s="331">
        <f t="shared" si="37"/>
        <v>235906</v>
      </c>
      <c r="K1197" s="199">
        <v>1.65</v>
      </c>
      <c r="L1197" s="199">
        <v>2.12</v>
      </c>
    </row>
    <row r="1198" spans="1:12" ht="15" customHeight="1" x14ac:dyDescent="0.25">
      <c r="A1198" s="49">
        <v>1988</v>
      </c>
      <c r="B1198" s="330" t="s">
        <v>35</v>
      </c>
      <c r="C1198" s="331">
        <v>9264388581</v>
      </c>
      <c r="D1198" s="331">
        <v>5353917603</v>
      </c>
      <c r="E1198" s="331">
        <v>81624500</v>
      </c>
      <c r="F1198" s="331">
        <v>61681</v>
      </c>
      <c r="G1198" s="332">
        <f t="shared" si="36"/>
        <v>6.6578597670761928E-6</v>
      </c>
      <c r="H1198" s="331">
        <v>273470</v>
      </c>
      <c r="I1198" s="331">
        <v>0</v>
      </c>
      <c r="J1198" s="331">
        <f t="shared" si="37"/>
        <v>273470</v>
      </c>
      <c r="K1198" s="199">
        <v>1.52</v>
      </c>
      <c r="L1198" s="199">
        <v>2.12</v>
      </c>
    </row>
    <row r="1199" spans="1:12" ht="15" customHeight="1" x14ac:dyDescent="0.25">
      <c r="A1199" s="49">
        <v>1989</v>
      </c>
      <c r="B1199" s="330" t="s">
        <v>35</v>
      </c>
      <c r="C1199" s="331">
        <v>10439750962</v>
      </c>
      <c r="D1199" s="331">
        <v>6031342050</v>
      </c>
      <c r="E1199" s="331">
        <v>89042060</v>
      </c>
      <c r="F1199" s="331">
        <v>65568</v>
      </c>
      <c r="G1199" s="332">
        <f t="shared" si="36"/>
        <v>6.2806095891236452E-6</v>
      </c>
      <c r="H1199" s="331">
        <v>321035</v>
      </c>
      <c r="I1199" s="331">
        <v>0</v>
      </c>
      <c r="J1199" s="331">
        <f t="shared" si="37"/>
        <v>321035</v>
      </c>
      <c r="K1199" s="199">
        <v>1.48</v>
      </c>
      <c r="L1199" s="199">
        <v>2.12</v>
      </c>
    </row>
    <row r="1200" spans="1:12" ht="15" customHeight="1" x14ac:dyDescent="0.25">
      <c r="A1200" s="49">
        <v>1990</v>
      </c>
      <c r="B1200" s="330" t="s">
        <v>35</v>
      </c>
      <c r="C1200" s="331">
        <v>11676086893</v>
      </c>
      <c r="D1200" s="331">
        <v>6737951259</v>
      </c>
      <c r="E1200" s="331">
        <v>92858115</v>
      </c>
      <c r="F1200" s="331">
        <v>91768</v>
      </c>
      <c r="G1200" s="332">
        <f t="shared" si="36"/>
        <v>7.8594824482692385E-6</v>
      </c>
      <c r="H1200" s="331">
        <v>353745</v>
      </c>
      <c r="I1200" s="331">
        <v>0</v>
      </c>
      <c r="J1200" s="331">
        <f t="shared" si="37"/>
        <v>353745</v>
      </c>
      <c r="K1200" s="199">
        <v>1.38</v>
      </c>
      <c r="L1200" s="199">
        <v>2.12</v>
      </c>
    </row>
    <row r="1201" spans="1:12" ht="15" customHeight="1" x14ac:dyDescent="0.25">
      <c r="A1201" s="49">
        <v>1991</v>
      </c>
      <c r="B1201" s="330" t="s">
        <v>35</v>
      </c>
      <c r="C1201" s="331">
        <v>12016211596</v>
      </c>
      <c r="D1201" s="331">
        <v>6816900090</v>
      </c>
      <c r="E1201" s="331">
        <v>70394933</v>
      </c>
      <c r="F1201" s="331">
        <v>156458</v>
      </c>
      <c r="G1201" s="332">
        <f t="shared" si="36"/>
        <v>1.3020576306436074E-5</v>
      </c>
      <c r="H1201" s="331">
        <v>295919</v>
      </c>
      <c r="I1201" s="331">
        <v>0</v>
      </c>
      <c r="J1201" s="331">
        <f t="shared" si="37"/>
        <v>295919</v>
      </c>
      <c r="K1201" s="199">
        <v>1.03</v>
      </c>
      <c r="L1201" s="199">
        <v>2.12</v>
      </c>
    </row>
    <row r="1202" spans="1:12" ht="15" customHeight="1" x14ac:dyDescent="0.25">
      <c r="A1202" s="49">
        <v>1992</v>
      </c>
      <c r="B1202" s="330" t="s">
        <v>35</v>
      </c>
      <c r="C1202" s="331">
        <v>13057905641</v>
      </c>
      <c r="D1202" s="331">
        <v>7386840507</v>
      </c>
      <c r="E1202" s="331">
        <v>72912048</v>
      </c>
      <c r="F1202" s="331">
        <v>152671</v>
      </c>
      <c r="G1202" s="332">
        <f t="shared" si="36"/>
        <v>1.1691844327671842E-5</v>
      </c>
      <c r="H1202" s="331">
        <v>233667</v>
      </c>
      <c r="I1202" s="331">
        <v>0</v>
      </c>
      <c r="J1202" s="331">
        <f t="shared" si="37"/>
        <v>233667</v>
      </c>
      <c r="K1202" s="199">
        <v>0.99</v>
      </c>
      <c r="L1202" s="199">
        <v>2.12</v>
      </c>
    </row>
    <row r="1203" spans="1:12" ht="15" customHeight="1" x14ac:dyDescent="0.25">
      <c r="A1203" s="49">
        <v>1993</v>
      </c>
      <c r="B1203" s="330" t="s">
        <v>35</v>
      </c>
      <c r="C1203" s="331">
        <v>14183832171</v>
      </c>
      <c r="D1203" s="331">
        <v>8075371220</v>
      </c>
      <c r="E1203" s="331">
        <v>125072875</v>
      </c>
      <c r="F1203" s="331">
        <v>135016</v>
      </c>
      <c r="G1203" s="332">
        <f t="shared" si="36"/>
        <v>9.5190071605649146E-6</v>
      </c>
      <c r="H1203" s="331">
        <v>238398</v>
      </c>
      <c r="I1203" s="331">
        <v>0</v>
      </c>
      <c r="J1203" s="331">
        <f t="shared" si="37"/>
        <v>238398</v>
      </c>
      <c r="K1203" s="199">
        <v>1.55</v>
      </c>
      <c r="L1203" s="199">
        <v>2.12</v>
      </c>
    </row>
    <row r="1204" spans="1:12" ht="15" customHeight="1" x14ac:dyDescent="0.25">
      <c r="A1204" s="49">
        <v>1994</v>
      </c>
      <c r="B1204" s="330" t="s">
        <v>35</v>
      </c>
      <c r="C1204" s="331">
        <v>15887902075</v>
      </c>
      <c r="D1204" s="331">
        <v>9389033014</v>
      </c>
      <c r="E1204" s="331">
        <v>144249895</v>
      </c>
      <c r="F1204" s="331">
        <v>127100</v>
      </c>
      <c r="G1204" s="332">
        <f t="shared" si="36"/>
        <v>7.9997975440693919E-6</v>
      </c>
      <c r="H1204" s="331">
        <v>269804</v>
      </c>
      <c r="I1204" s="331">
        <v>0</v>
      </c>
      <c r="J1204" s="331">
        <f t="shared" si="37"/>
        <v>269804</v>
      </c>
      <c r="K1204" s="199">
        <v>1.54</v>
      </c>
      <c r="L1204" s="199">
        <v>2.12</v>
      </c>
    </row>
    <row r="1205" spans="1:12" ht="15" customHeight="1" x14ac:dyDescent="0.25">
      <c r="A1205" s="49">
        <v>1995</v>
      </c>
      <c r="B1205" s="330" t="s">
        <v>35</v>
      </c>
      <c r="C1205" s="331">
        <v>17610114715</v>
      </c>
      <c r="D1205" s="331">
        <v>10345475441</v>
      </c>
      <c r="E1205" s="331">
        <v>156029083</v>
      </c>
      <c r="F1205" s="331">
        <v>143123</v>
      </c>
      <c r="G1205" s="332">
        <f t="shared" si="36"/>
        <v>8.1273178690931656E-6</v>
      </c>
      <c r="H1205" s="331">
        <v>297866</v>
      </c>
      <c r="I1205" s="331">
        <v>0</v>
      </c>
      <c r="J1205" s="331">
        <f t="shared" si="37"/>
        <v>297866</v>
      </c>
      <c r="K1205" s="199">
        <v>1.51</v>
      </c>
      <c r="L1205" s="199">
        <v>1.87</v>
      </c>
    </row>
    <row r="1206" spans="1:12" ht="15" customHeight="1" x14ac:dyDescent="0.25">
      <c r="A1206" s="49">
        <v>1996</v>
      </c>
      <c r="B1206" s="330" t="s">
        <v>35</v>
      </c>
      <c r="C1206" s="331">
        <v>19771856890</v>
      </c>
      <c r="D1206" s="331">
        <v>11438198333</v>
      </c>
      <c r="E1206" s="331">
        <v>176382262</v>
      </c>
      <c r="F1206" s="331">
        <v>144205</v>
      </c>
      <c r="G1206" s="332">
        <f t="shared" si="36"/>
        <v>7.2934474896454706E-6</v>
      </c>
      <c r="H1206" s="331">
        <v>348278</v>
      </c>
      <c r="I1206" s="331">
        <v>0</v>
      </c>
      <c r="J1206" s="331">
        <f t="shared" si="37"/>
        <v>348278</v>
      </c>
      <c r="K1206" s="199">
        <v>1.54</v>
      </c>
      <c r="L1206" s="199">
        <v>1.7</v>
      </c>
    </row>
    <row r="1207" spans="1:12" ht="15" customHeight="1" x14ac:dyDescent="0.25">
      <c r="A1207" s="49">
        <v>1997</v>
      </c>
      <c r="B1207" s="330" t="s">
        <v>35</v>
      </c>
      <c r="C1207" s="331">
        <v>21565678979</v>
      </c>
      <c r="D1207" s="331">
        <v>12473035246</v>
      </c>
      <c r="E1207" s="331">
        <v>180229496</v>
      </c>
      <c r="F1207" s="331">
        <v>171509</v>
      </c>
      <c r="G1207" s="332">
        <f t="shared" si="36"/>
        <v>7.9528680811306814E-6</v>
      </c>
      <c r="H1207" s="331">
        <v>387888</v>
      </c>
      <c r="I1207" s="331">
        <v>0</v>
      </c>
      <c r="J1207" s="331">
        <f t="shared" si="37"/>
        <v>387888</v>
      </c>
      <c r="K1207" s="199">
        <v>1.45</v>
      </c>
      <c r="L1207" s="199">
        <v>1.69</v>
      </c>
    </row>
    <row r="1208" spans="1:12" ht="15" customHeight="1" x14ac:dyDescent="0.25">
      <c r="A1208" s="49">
        <v>1998</v>
      </c>
      <c r="B1208" s="330" t="s">
        <v>35</v>
      </c>
      <c r="C1208" s="331">
        <v>23664586587</v>
      </c>
      <c r="D1208" s="331">
        <v>13676781843</v>
      </c>
      <c r="E1208" s="331">
        <v>192504186</v>
      </c>
      <c r="F1208" s="331">
        <v>171010</v>
      </c>
      <c r="G1208" s="332">
        <f t="shared" si="36"/>
        <v>7.2264097820303069E-6</v>
      </c>
      <c r="H1208" s="331">
        <v>425752</v>
      </c>
      <c r="I1208" s="331">
        <v>0</v>
      </c>
      <c r="J1208" s="331">
        <f t="shared" si="37"/>
        <v>425752</v>
      </c>
      <c r="K1208" s="199">
        <v>1.41</v>
      </c>
      <c r="L1208" s="199">
        <v>1.69</v>
      </c>
    </row>
    <row r="1209" spans="1:12" ht="15" customHeight="1" x14ac:dyDescent="0.25">
      <c r="A1209" s="49">
        <v>1999</v>
      </c>
      <c r="B1209" s="330" t="s">
        <v>35</v>
      </c>
      <c r="C1209" s="331">
        <v>25975817060</v>
      </c>
      <c r="D1209" s="331">
        <v>15073015751</v>
      </c>
      <c r="E1209" s="331">
        <v>213956947</v>
      </c>
      <c r="F1209" s="331">
        <v>187749</v>
      </c>
      <c r="G1209" s="332">
        <f t="shared" si="36"/>
        <v>7.227838091342025E-6</v>
      </c>
      <c r="H1209" s="331">
        <v>471641</v>
      </c>
      <c r="I1209" s="331">
        <v>0</v>
      </c>
      <c r="J1209" s="331">
        <f t="shared" si="37"/>
        <v>471641</v>
      </c>
      <c r="K1209" s="199">
        <v>1.42</v>
      </c>
      <c r="L1209" s="199">
        <v>1.69</v>
      </c>
    </row>
    <row r="1210" spans="1:12" ht="15" customHeight="1" x14ac:dyDescent="0.25">
      <c r="A1210" s="49">
        <v>2000</v>
      </c>
      <c r="B1210" s="330" t="s">
        <v>35</v>
      </c>
      <c r="C1210" s="331">
        <v>28012054007</v>
      </c>
      <c r="D1210" s="331">
        <v>16353411130</v>
      </c>
      <c r="E1210" s="331">
        <v>212046760</v>
      </c>
      <c r="F1210" s="331">
        <v>199352</v>
      </c>
      <c r="G1210" s="332">
        <f t="shared" si="36"/>
        <v>7.1166505658665174E-6</v>
      </c>
      <c r="H1210" s="331">
        <v>507514</v>
      </c>
      <c r="I1210" s="331">
        <v>0</v>
      </c>
      <c r="J1210" s="331">
        <f t="shared" si="37"/>
        <v>507514</v>
      </c>
      <c r="K1210" s="199">
        <v>1.3</v>
      </c>
      <c r="L1210" s="199">
        <v>1.69</v>
      </c>
    </row>
    <row r="1211" spans="1:12" ht="15" customHeight="1" x14ac:dyDescent="0.25">
      <c r="A1211" s="49">
        <v>2001</v>
      </c>
      <c r="B1211" s="330" t="s">
        <v>35</v>
      </c>
      <c r="C1211" s="331">
        <v>29357711631</v>
      </c>
      <c r="D1211" s="331">
        <v>17063965788</v>
      </c>
      <c r="E1211" s="331">
        <v>221679094</v>
      </c>
      <c r="F1211" s="331">
        <v>287525</v>
      </c>
      <c r="G1211" s="332">
        <f t="shared" si="36"/>
        <v>9.7938491805468481E-6</v>
      </c>
      <c r="H1211" s="331">
        <v>481297</v>
      </c>
      <c r="I1211" s="331">
        <v>0</v>
      </c>
      <c r="J1211" s="331">
        <f t="shared" si="37"/>
        <v>481297</v>
      </c>
      <c r="K1211" s="199">
        <v>1.3</v>
      </c>
      <c r="L1211" s="199">
        <v>1.69</v>
      </c>
    </row>
    <row r="1212" spans="1:12" ht="15" customHeight="1" x14ac:dyDescent="0.25">
      <c r="A1212" s="49">
        <v>2002</v>
      </c>
      <c r="B1212" s="330" t="s">
        <v>35</v>
      </c>
      <c r="C1212" s="331">
        <v>29967600035</v>
      </c>
      <c r="D1212" s="331">
        <v>17377248792</v>
      </c>
      <c r="E1212" s="331">
        <v>224362547</v>
      </c>
      <c r="F1212" s="331">
        <v>338076</v>
      </c>
      <c r="G1212" s="332">
        <f t="shared" si="36"/>
        <v>1.128138388143033E-5</v>
      </c>
      <c r="H1212" s="331">
        <v>462658</v>
      </c>
      <c r="I1212" s="331">
        <v>0</v>
      </c>
      <c r="J1212" s="331">
        <f t="shared" si="37"/>
        <v>462658</v>
      </c>
      <c r="K1212" s="199">
        <v>1.29</v>
      </c>
      <c r="L1212" s="199">
        <v>1.69</v>
      </c>
    </row>
    <row r="1213" spans="1:12" ht="15" customHeight="1" x14ac:dyDescent="0.25">
      <c r="A1213" s="49">
        <v>2003</v>
      </c>
      <c r="B1213" s="330" t="s">
        <v>35</v>
      </c>
      <c r="C1213" s="331">
        <v>32188407693</v>
      </c>
      <c r="D1213" s="331">
        <v>18467211476</v>
      </c>
      <c r="E1213" s="331">
        <v>245843791</v>
      </c>
      <c r="F1213" s="331">
        <v>297989</v>
      </c>
      <c r="G1213" s="332">
        <f t="shared" si="36"/>
        <v>9.2576496123106935E-6</v>
      </c>
      <c r="H1213" s="331">
        <v>428576</v>
      </c>
      <c r="I1213" s="331">
        <v>0</v>
      </c>
      <c r="J1213" s="331">
        <f t="shared" si="37"/>
        <v>428576</v>
      </c>
      <c r="K1213" s="199">
        <v>1.33</v>
      </c>
      <c r="L1213" s="199">
        <v>1.69</v>
      </c>
    </row>
    <row r="1214" spans="1:12" ht="15" customHeight="1" x14ac:dyDescent="0.25">
      <c r="A1214" s="49">
        <v>2004</v>
      </c>
      <c r="B1214" s="330" t="s">
        <v>35</v>
      </c>
      <c r="C1214" s="331">
        <v>36021975843</v>
      </c>
      <c r="D1214" s="331">
        <v>20347493185</v>
      </c>
      <c r="E1214" s="331">
        <v>276132050</v>
      </c>
      <c r="F1214" s="331">
        <v>248767</v>
      </c>
      <c r="G1214" s="332">
        <f t="shared" si="36"/>
        <v>6.9059787581957932E-6</v>
      </c>
      <c r="H1214" s="331">
        <v>468190</v>
      </c>
      <c r="I1214" s="331">
        <v>0</v>
      </c>
      <c r="J1214" s="331">
        <f t="shared" si="37"/>
        <v>468190</v>
      </c>
      <c r="K1214" s="199">
        <v>1.36</v>
      </c>
      <c r="L1214" s="199">
        <v>1.69</v>
      </c>
    </row>
    <row r="1215" spans="1:12" ht="15" customHeight="1" x14ac:dyDescent="0.25">
      <c r="A1215" s="49">
        <v>2005</v>
      </c>
      <c r="B1215" s="330" t="s">
        <v>35</v>
      </c>
      <c r="C1215" s="331">
        <v>40206311802</v>
      </c>
      <c r="D1215" s="331">
        <v>22605052103</v>
      </c>
      <c r="E1215" s="331">
        <v>324537366</v>
      </c>
      <c r="F1215" s="331">
        <v>216431</v>
      </c>
      <c r="G1215" s="332">
        <f t="shared" si="36"/>
        <v>5.3830105349089488E-6</v>
      </c>
      <c r="H1215" s="331">
        <v>589866</v>
      </c>
      <c r="I1215" s="331">
        <v>0</v>
      </c>
      <c r="J1215" s="331">
        <f t="shared" si="37"/>
        <v>589866</v>
      </c>
      <c r="K1215" s="199">
        <v>1.44</v>
      </c>
      <c r="L1215" s="199">
        <v>1.69</v>
      </c>
    </row>
    <row r="1216" spans="1:12" ht="15" customHeight="1" x14ac:dyDescent="0.25">
      <c r="A1216" s="49">
        <v>2006</v>
      </c>
      <c r="B1216" s="330" t="s">
        <v>35</v>
      </c>
      <c r="C1216" s="331">
        <v>43428128130</v>
      </c>
      <c r="D1216" s="331">
        <v>24715350437</v>
      </c>
      <c r="E1216" s="331">
        <v>356609584</v>
      </c>
      <c r="F1216" s="331">
        <v>237576</v>
      </c>
      <c r="G1216" s="332">
        <f t="shared" si="36"/>
        <v>5.4705558408786981E-6</v>
      </c>
      <c r="H1216" s="331">
        <v>728364</v>
      </c>
      <c r="I1216" s="331">
        <v>0</v>
      </c>
      <c r="J1216" s="331">
        <f t="shared" si="37"/>
        <v>728364</v>
      </c>
      <c r="K1216" s="199">
        <v>1.44</v>
      </c>
      <c r="L1216" s="199">
        <v>1.69</v>
      </c>
    </row>
    <row r="1217" spans="1:12" ht="15" customHeight="1" x14ac:dyDescent="0.25">
      <c r="A1217" s="49">
        <v>2007</v>
      </c>
      <c r="B1217" s="330" t="s">
        <v>35</v>
      </c>
      <c r="C1217" s="331">
        <v>45992011347</v>
      </c>
      <c r="D1217" s="331">
        <v>25565345314</v>
      </c>
      <c r="E1217" s="331">
        <v>360163381</v>
      </c>
      <c r="F1217" s="331">
        <v>327180</v>
      </c>
      <c r="G1217" s="332">
        <f t="shared" si="36"/>
        <v>7.1138441311360814E-6</v>
      </c>
      <c r="H1217" s="331">
        <v>793215</v>
      </c>
      <c r="I1217" s="331">
        <v>0</v>
      </c>
      <c r="J1217" s="331">
        <f t="shared" si="37"/>
        <v>793215</v>
      </c>
      <c r="K1217" s="199">
        <v>1.41</v>
      </c>
      <c r="L1217" s="199">
        <v>1.69</v>
      </c>
    </row>
    <row r="1218" spans="1:12" ht="15" customHeight="1" x14ac:dyDescent="0.25">
      <c r="A1218" s="49">
        <v>2008</v>
      </c>
      <c r="B1218" s="330" t="s">
        <v>35</v>
      </c>
      <c r="C1218" s="331">
        <v>45202114476</v>
      </c>
      <c r="D1218" s="331">
        <v>25460849330</v>
      </c>
      <c r="E1218" s="331">
        <v>340091474</v>
      </c>
      <c r="F1218" s="331">
        <v>568475</v>
      </c>
      <c r="G1218" s="332">
        <f t="shared" ref="G1218:G1281" si="38">F1218/C1218</f>
        <v>1.2576292206459302E-5</v>
      </c>
      <c r="H1218" s="331">
        <v>606022</v>
      </c>
      <c r="I1218" s="331">
        <v>0</v>
      </c>
      <c r="J1218" s="331">
        <f t="shared" ref="J1218:J1281" si="39">H1218-I1218</f>
        <v>606022</v>
      </c>
      <c r="K1218" s="199">
        <v>1.3</v>
      </c>
      <c r="L1218" s="199">
        <v>1.69</v>
      </c>
    </row>
    <row r="1219" spans="1:12" ht="15" customHeight="1" x14ac:dyDescent="0.25">
      <c r="A1219" s="49">
        <v>2009</v>
      </c>
      <c r="B1219" s="330" t="s">
        <v>35</v>
      </c>
      <c r="C1219" s="331">
        <v>39824583499</v>
      </c>
      <c r="D1219" s="331">
        <v>23170094109</v>
      </c>
      <c r="E1219" s="331">
        <v>289585224</v>
      </c>
      <c r="F1219" s="331">
        <v>1093522</v>
      </c>
      <c r="G1219" s="332">
        <f t="shared" si="38"/>
        <v>2.7458466703800142E-5</v>
      </c>
      <c r="H1219" s="331">
        <v>41478</v>
      </c>
      <c r="I1219" s="331">
        <v>127071</v>
      </c>
      <c r="J1219" s="331">
        <f t="shared" si="39"/>
        <v>-85593</v>
      </c>
      <c r="K1219" s="199">
        <v>1.2</v>
      </c>
      <c r="L1219" s="199">
        <v>1.77</v>
      </c>
    </row>
    <row r="1220" spans="1:12" ht="15" customHeight="1" x14ac:dyDescent="0.25">
      <c r="A1220" s="49">
        <v>2010</v>
      </c>
      <c r="B1220" s="330" t="s">
        <v>35</v>
      </c>
      <c r="C1220" s="331">
        <v>38471433417</v>
      </c>
      <c r="D1220" s="331">
        <v>22458818054</v>
      </c>
      <c r="E1220" s="331">
        <v>273854171</v>
      </c>
      <c r="F1220" s="331">
        <v>783871</v>
      </c>
      <c r="G1220" s="332">
        <f t="shared" si="38"/>
        <v>2.0375404043396472E-5</v>
      </c>
      <c r="H1220" s="331">
        <v>31980</v>
      </c>
      <c r="I1220" s="331">
        <v>620602</v>
      </c>
      <c r="J1220" s="331">
        <f t="shared" si="39"/>
        <v>-588622</v>
      </c>
      <c r="K1220" s="199">
        <v>1.2</v>
      </c>
      <c r="L1220" s="199">
        <v>2.0299999999999998</v>
      </c>
    </row>
    <row r="1221" spans="1:12" ht="15" customHeight="1" x14ac:dyDescent="0.25">
      <c r="A1221" s="49">
        <v>2011</v>
      </c>
      <c r="B1221" s="330" t="s">
        <v>35</v>
      </c>
      <c r="C1221" s="331">
        <v>39570816974</v>
      </c>
      <c r="D1221" s="331">
        <v>22625683623</v>
      </c>
      <c r="E1221" s="331">
        <v>418287836</v>
      </c>
      <c r="F1221" s="331">
        <v>563848</v>
      </c>
      <c r="G1221" s="332">
        <f t="shared" si="38"/>
        <v>1.4249086653188794E-5</v>
      </c>
      <c r="H1221" s="331">
        <v>25618</v>
      </c>
      <c r="I1221" s="331">
        <v>764804</v>
      </c>
      <c r="J1221" s="331">
        <f t="shared" si="39"/>
        <v>-739186</v>
      </c>
      <c r="K1221" s="199">
        <v>1.8</v>
      </c>
      <c r="L1221" s="199">
        <v>2.0699999999999998</v>
      </c>
    </row>
    <row r="1222" spans="1:12" ht="15" customHeight="1" x14ac:dyDescent="0.25">
      <c r="A1222" s="49">
        <v>2012</v>
      </c>
      <c r="B1222" s="330" t="s">
        <v>35</v>
      </c>
      <c r="C1222" s="331">
        <v>41069081418</v>
      </c>
      <c r="D1222" s="331">
        <v>22977910618</v>
      </c>
      <c r="E1222" s="331">
        <v>527851626</v>
      </c>
      <c r="F1222" s="331">
        <v>493415</v>
      </c>
      <c r="G1222" s="332">
        <f t="shared" si="38"/>
        <v>1.201426920115489E-5</v>
      </c>
      <c r="H1222" s="331">
        <v>17402</v>
      </c>
      <c r="I1222" s="331">
        <v>676563</v>
      </c>
      <c r="J1222" s="331">
        <f t="shared" si="39"/>
        <v>-659161</v>
      </c>
      <c r="K1222" s="199">
        <v>2.2999999999999998</v>
      </c>
      <c r="L1222" s="199">
        <v>2.0699999999999998</v>
      </c>
    </row>
    <row r="1223" spans="1:12" ht="15" customHeight="1" x14ac:dyDescent="0.25">
      <c r="A1223" s="49">
        <v>2013</v>
      </c>
      <c r="B1223" s="330" t="s">
        <v>35</v>
      </c>
      <c r="C1223" s="331">
        <v>42772223234</v>
      </c>
      <c r="D1223" s="331">
        <v>23896377868</v>
      </c>
      <c r="E1223" s="331">
        <v>531077960</v>
      </c>
      <c r="F1223" s="331">
        <v>425662</v>
      </c>
      <c r="G1223" s="332">
        <f t="shared" si="38"/>
        <v>9.9518324701353775E-6</v>
      </c>
      <c r="H1223" s="331">
        <v>97231</v>
      </c>
      <c r="I1223" s="331">
        <v>0</v>
      </c>
      <c r="J1223" s="331">
        <f t="shared" si="39"/>
        <v>97231</v>
      </c>
      <c r="K1223" s="199">
        <v>2.2200000000000002</v>
      </c>
      <c r="L1223" s="199">
        <v>2.0699999999999998</v>
      </c>
    </row>
    <row r="1224" spans="1:12" ht="15" customHeight="1" x14ac:dyDescent="0.25">
      <c r="A1224" s="49">
        <v>2014</v>
      </c>
      <c r="B1224" s="330" t="s">
        <v>35</v>
      </c>
      <c r="C1224" s="331">
        <v>45086928122</v>
      </c>
      <c r="D1224" s="331">
        <v>25275417746</v>
      </c>
      <c r="E1224" s="331">
        <v>497463344</v>
      </c>
      <c r="F1224" s="331">
        <v>369488</v>
      </c>
      <c r="G1224" s="332">
        <f t="shared" si="38"/>
        <v>8.1950138408234055E-6</v>
      </c>
      <c r="H1224" s="331">
        <v>237460</v>
      </c>
      <c r="I1224" s="331">
        <v>0</v>
      </c>
      <c r="J1224" s="331">
        <f t="shared" si="39"/>
        <v>237460</v>
      </c>
      <c r="K1224" s="333">
        <v>1.9681706114579522</v>
      </c>
      <c r="L1224" s="199">
        <v>2.0699999999999998</v>
      </c>
    </row>
    <row r="1225" spans="1:12" ht="15" customHeight="1" x14ac:dyDescent="0.25">
      <c r="A1225" s="49">
        <v>2015</v>
      </c>
      <c r="B1225" s="330" t="s">
        <v>35</v>
      </c>
      <c r="C1225" s="334">
        <v>47848576000</v>
      </c>
      <c r="D1225" s="334">
        <v>26805994000</v>
      </c>
      <c r="E1225" s="334">
        <v>540557000</v>
      </c>
      <c r="F1225" s="331">
        <v>343438</v>
      </c>
      <c r="G1225" s="332">
        <f t="shared" si="38"/>
        <v>7.1776012728153082E-6</v>
      </c>
      <c r="H1225" s="331">
        <v>447023</v>
      </c>
      <c r="I1225" s="199">
        <v>0</v>
      </c>
      <c r="J1225" s="331">
        <f t="shared" si="39"/>
        <v>447023</v>
      </c>
      <c r="K1225" s="199">
        <v>2.1</v>
      </c>
      <c r="L1225" s="199">
        <v>2.0699999999999998</v>
      </c>
    </row>
    <row r="1226" spans="1:12" x14ac:dyDescent="0.25">
      <c r="A1226" s="49">
        <v>1980</v>
      </c>
      <c r="B1226" s="330" t="s">
        <v>36</v>
      </c>
      <c r="C1226" s="331">
        <v>86051549009</v>
      </c>
      <c r="D1226" s="331">
        <v>33706715040</v>
      </c>
      <c r="E1226" s="331">
        <v>1177379698</v>
      </c>
      <c r="F1226" s="331">
        <v>1006523</v>
      </c>
      <c r="G1226" s="332">
        <f t="shared" si="38"/>
        <v>1.1696744702349626E-5</v>
      </c>
      <c r="H1226" s="331">
        <v>510319</v>
      </c>
      <c r="I1226" s="331">
        <v>0</v>
      </c>
      <c r="J1226" s="331">
        <f t="shared" si="39"/>
        <v>510319</v>
      </c>
      <c r="K1226" s="199">
        <v>3.49</v>
      </c>
      <c r="L1226" s="199">
        <v>2.0699999999999998</v>
      </c>
    </row>
    <row r="1227" spans="1:12" ht="15" customHeight="1" x14ac:dyDescent="0.25">
      <c r="A1227" s="49">
        <v>1981</v>
      </c>
      <c r="B1227" s="330" t="s">
        <v>36</v>
      </c>
      <c r="C1227" s="331">
        <v>95014647707</v>
      </c>
      <c r="D1227" s="331">
        <v>34878014139</v>
      </c>
      <c r="E1227" s="331">
        <v>1126305302</v>
      </c>
      <c r="F1227" s="331">
        <v>903853</v>
      </c>
      <c r="G1227" s="332">
        <f t="shared" si="38"/>
        <v>9.5127753647757888E-6</v>
      </c>
      <c r="H1227" s="331">
        <v>777989</v>
      </c>
      <c r="I1227" s="331">
        <v>0</v>
      </c>
      <c r="J1227" s="331">
        <f t="shared" si="39"/>
        <v>777989</v>
      </c>
      <c r="K1227" s="199">
        <v>3.23</v>
      </c>
      <c r="L1227" s="199">
        <v>2.0299999999999998</v>
      </c>
    </row>
    <row r="1228" spans="1:12" ht="15" customHeight="1" x14ac:dyDescent="0.25">
      <c r="A1228" s="49">
        <v>1982</v>
      </c>
      <c r="B1228" s="330" t="s">
        <v>36</v>
      </c>
      <c r="C1228" s="331">
        <v>102295100472</v>
      </c>
      <c r="D1228" s="331">
        <v>34883789228</v>
      </c>
      <c r="E1228" s="331">
        <v>1086390241</v>
      </c>
      <c r="F1228" s="331">
        <v>1131938</v>
      </c>
      <c r="G1228" s="332">
        <f t="shared" si="38"/>
        <v>1.1065417549590576E-5</v>
      </c>
      <c r="H1228" s="331">
        <v>819262</v>
      </c>
      <c r="I1228" s="331">
        <v>0</v>
      </c>
      <c r="J1228" s="331">
        <f t="shared" si="39"/>
        <v>819262</v>
      </c>
      <c r="K1228" s="199">
        <v>3.11</v>
      </c>
      <c r="L1228" s="199">
        <v>2.0299999999999998</v>
      </c>
    </row>
    <row r="1229" spans="1:12" ht="15" customHeight="1" x14ac:dyDescent="0.25">
      <c r="A1229" s="49">
        <v>1983</v>
      </c>
      <c r="B1229" s="330" t="s">
        <v>36</v>
      </c>
      <c r="C1229" s="331">
        <v>109159927692</v>
      </c>
      <c r="D1229" s="331">
        <v>39744646249</v>
      </c>
      <c r="E1229" s="331">
        <v>1234147618</v>
      </c>
      <c r="F1229" s="331">
        <v>1090798</v>
      </c>
      <c r="G1229" s="332">
        <f t="shared" si="38"/>
        <v>9.9926596056177233E-6</v>
      </c>
      <c r="H1229" s="331">
        <v>960544</v>
      </c>
      <c r="I1229" s="331">
        <v>0</v>
      </c>
      <c r="J1229" s="331">
        <f t="shared" si="39"/>
        <v>960544</v>
      </c>
      <c r="K1229" s="199">
        <v>3.11</v>
      </c>
      <c r="L1229" s="199">
        <v>2.0299999999999998</v>
      </c>
    </row>
    <row r="1230" spans="1:12" ht="15" customHeight="1" x14ac:dyDescent="0.25">
      <c r="A1230" s="49">
        <v>1984</v>
      </c>
      <c r="B1230" s="330" t="s">
        <v>36</v>
      </c>
      <c r="C1230" s="331">
        <v>119262072905</v>
      </c>
      <c r="D1230" s="331">
        <v>41887183319</v>
      </c>
      <c r="E1230" s="331">
        <v>1355380118</v>
      </c>
      <c r="F1230" s="331">
        <v>1079852</v>
      </c>
      <c r="G1230" s="332">
        <f t="shared" si="38"/>
        <v>9.054446008666748E-6</v>
      </c>
      <c r="H1230" s="331">
        <v>1320990</v>
      </c>
      <c r="I1230" s="331">
        <v>0</v>
      </c>
      <c r="J1230" s="331">
        <f t="shared" si="39"/>
        <v>1320990</v>
      </c>
      <c r="K1230" s="199">
        <v>3.24</v>
      </c>
      <c r="L1230" s="199">
        <v>2.0299999999999998</v>
      </c>
    </row>
    <row r="1231" spans="1:12" ht="15" customHeight="1" x14ac:dyDescent="0.25">
      <c r="A1231" s="49">
        <v>1985</v>
      </c>
      <c r="B1231" s="330" t="s">
        <v>36</v>
      </c>
      <c r="C1231" s="331">
        <v>128960696190</v>
      </c>
      <c r="D1231" s="331">
        <v>43554869084</v>
      </c>
      <c r="E1231" s="331">
        <v>1420501652</v>
      </c>
      <c r="F1231" s="331">
        <v>1146273</v>
      </c>
      <c r="G1231" s="332">
        <f t="shared" si="38"/>
        <v>8.8885453775092551E-6</v>
      </c>
      <c r="H1231" s="331">
        <v>1699479</v>
      </c>
      <c r="I1231" s="331">
        <v>0</v>
      </c>
      <c r="J1231" s="331">
        <f t="shared" si="39"/>
        <v>1699479</v>
      </c>
      <c r="K1231" s="199">
        <v>3.26</v>
      </c>
      <c r="L1231" s="199">
        <v>2.0299999999999998</v>
      </c>
    </row>
    <row r="1232" spans="1:12" ht="15" customHeight="1" x14ac:dyDescent="0.25">
      <c r="A1232" s="49">
        <v>1986</v>
      </c>
      <c r="B1232" s="330" t="s">
        <v>36</v>
      </c>
      <c r="C1232" s="331">
        <v>139173505379</v>
      </c>
      <c r="D1232" s="331">
        <v>44862233840</v>
      </c>
      <c r="E1232" s="331">
        <v>1459165801</v>
      </c>
      <c r="F1232" s="331">
        <v>1128171</v>
      </c>
      <c r="G1232" s="332">
        <f t="shared" si="38"/>
        <v>8.1062196208088792E-6</v>
      </c>
      <c r="H1232" s="331">
        <v>2184109</v>
      </c>
      <c r="I1232" s="331">
        <v>0</v>
      </c>
      <c r="J1232" s="331">
        <f t="shared" si="39"/>
        <v>2184109</v>
      </c>
      <c r="K1232" s="199">
        <v>3.25</v>
      </c>
      <c r="L1232" s="199">
        <v>2.0299999999999998</v>
      </c>
    </row>
    <row r="1233" spans="1:12" ht="15" customHeight="1" x14ac:dyDescent="0.25">
      <c r="A1233" s="49">
        <v>1987</v>
      </c>
      <c r="B1233" s="330" t="s">
        <v>36</v>
      </c>
      <c r="C1233" s="331">
        <v>150566009751</v>
      </c>
      <c r="D1233" s="331">
        <v>46321893049</v>
      </c>
      <c r="E1233" s="331">
        <v>1364476063</v>
      </c>
      <c r="F1233" s="331">
        <v>1039970</v>
      </c>
      <c r="G1233" s="332">
        <f t="shared" si="38"/>
        <v>6.9070702060834345E-6</v>
      </c>
      <c r="H1233" s="331">
        <v>2705476</v>
      </c>
      <c r="I1233" s="331">
        <v>0</v>
      </c>
      <c r="J1233" s="331">
        <f t="shared" si="39"/>
        <v>2705476</v>
      </c>
      <c r="K1233" s="199">
        <v>2.95</v>
      </c>
      <c r="L1233" s="199">
        <v>2.0299999999999998</v>
      </c>
    </row>
    <row r="1234" spans="1:12" ht="15" customHeight="1" x14ac:dyDescent="0.25">
      <c r="A1234" s="49">
        <v>1988</v>
      </c>
      <c r="B1234" s="330" t="s">
        <v>36</v>
      </c>
      <c r="C1234" s="331">
        <v>163365737636</v>
      </c>
      <c r="D1234" s="331">
        <v>47246364397</v>
      </c>
      <c r="E1234" s="331">
        <v>1350088086</v>
      </c>
      <c r="F1234" s="331">
        <v>1025004</v>
      </c>
      <c r="G1234" s="332">
        <f t="shared" si="38"/>
        <v>6.2742899143505936E-6</v>
      </c>
      <c r="H1234" s="331">
        <v>3260130</v>
      </c>
      <c r="I1234" s="331">
        <v>0</v>
      </c>
      <c r="J1234" s="331">
        <f t="shared" si="39"/>
        <v>3260130</v>
      </c>
      <c r="K1234" s="199">
        <v>2.86</v>
      </c>
      <c r="L1234" s="199">
        <v>2.0299999999999998</v>
      </c>
    </row>
    <row r="1235" spans="1:12" ht="15" customHeight="1" x14ac:dyDescent="0.25">
      <c r="A1235" s="49">
        <v>1989</v>
      </c>
      <c r="B1235" s="330" t="s">
        <v>36</v>
      </c>
      <c r="C1235" s="331">
        <v>168121663413</v>
      </c>
      <c r="D1235" s="331">
        <v>47679471290</v>
      </c>
      <c r="E1235" s="331">
        <v>891790909</v>
      </c>
      <c r="F1235" s="331">
        <v>1316504</v>
      </c>
      <c r="G1235" s="332">
        <f t="shared" si="38"/>
        <v>7.8306624695113593E-6</v>
      </c>
      <c r="H1235" s="331">
        <v>3180995</v>
      </c>
      <c r="I1235" s="331">
        <v>0</v>
      </c>
      <c r="J1235" s="331">
        <f t="shared" si="39"/>
        <v>3180995</v>
      </c>
      <c r="K1235" s="199">
        <v>1.87</v>
      </c>
      <c r="L1235" s="199">
        <v>2.0299999999999998</v>
      </c>
    </row>
    <row r="1236" spans="1:12" ht="15" customHeight="1" x14ac:dyDescent="0.25">
      <c r="A1236" s="49">
        <v>1990</v>
      </c>
      <c r="B1236" s="330" t="s">
        <v>36</v>
      </c>
      <c r="C1236" s="331">
        <v>175132807689</v>
      </c>
      <c r="D1236" s="331">
        <v>46790784858</v>
      </c>
      <c r="E1236" s="331">
        <v>887334261</v>
      </c>
      <c r="F1236" s="331">
        <v>1757117</v>
      </c>
      <c r="G1236" s="332">
        <f t="shared" si="38"/>
        <v>1.0033054475551376E-5</v>
      </c>
      <c r="H1236" s="331">
        <v>2551722</v>
      </c>
      <c r="I1236" s="331">
        <v>0</v>
      </c>
      <c r="J1236" s="331">
        <f t="shared" si="39"/>
        <v>2551722</v>
      </c>
      <c r="K1236" s="199">
        <v>1.9</v>
      </c>
      <c r="L1236" s="199">
        <v>2.0299999999999998</v>
      </c>
    </row>
    <row r="1237" spans="1:12" ht="15" customHeight="1" x14ac:dyDescent="0.25">
      <c r="A1237" s="49">
        <v>1991</v>
      </c>
      <c r="B1237" s="330" t="s">
        <v>36</v>
      </c>
      <c r="C1237" s="331">
        <v>172941631982</v>
      </c>
      <c r="D1237" s="331">
        <v>44582187014</v>
      </c>
      <c r="E1237" s="331">
        <v>1008476455</v>
      </c>
      <c r="F1237" s="331">
        <v>2456585</v>
      </c>
      <c r="G1237" s="332">
        <f t="shared" si="38"/>
        <v>1.4204705783369065E-5</v>
      </c>
      <c r="H1237" s="331">
        <v>1191450</v>
      </c>
      <c r="I1237" s="331">
        <v>0</v>
      </c>
      <c r="J1237" s="331">
        <f t="shared" si="39"/>
        <v>1191450</v>
      </c>
      <c r="K1237" s="199">
        <v>2.2599999999999998</v>
      </c>
      <c r="L1237" s="199">
        <v>2</v>
      </c>
    </row>
    <row r="1238" spans="1:12" ht="15" customHeight="1" x14ac:dyDescent="0.25">
      <c r="A1238" s="49">
        <v>1992</v>
      </c>
      <c r="B1238" s="330" t="s">
        <v>36</v>
      </c>
      <c r="C1238" s="331">
        <v>184066917337</v>
      </c>
      <c r="D1238" s="331">
        <v>43096952082</v>
      </c>
      <c r="E1238" s="331">
        <v>1405130499</v>
      </c>
      <c r="F1238" s="331">
        <v>2439112</v>
      </c>
      <c r="G1238" s="332">
        <f t="shared" si="38"/>
        <v>1.3251224257395137E-5</v>
      </c>
      <c r="H1238" s="331">
        <v>213914</v>
      </c>
      <c r="I1238" s="331">
        <v>0</v>
      </c>
      <c r="J1238" s="331">
        <f t="shared" si="39"/>
        <v>213914</v>
      </c>
      <c r="K1238" s="199">
        <v>3.26</v>
      </c>
      <c r="L1238" s="199">
        <v>2</v>
      </c>
    </row>
    <row r="1239" spans="1:12" ht="15" customHeight="1" x14ac:dyDescent="0.25">
      <c r="A1239" s="49">
        <v>1993</v>
      </c>
      <c r="B1239" s="330" t="s">
        <v>36</v>
      </c>
      <c r="C1239" s="331">
        <v>186156151232</v>
      </c>
      <c r="D1239" s="331">
        <v>43324367754</v>
      </c>
      <c r="E1239" s="331">
        <v>2039167298</v>
      </c>
      <c r="F1239" s="331">
        <v>1987476</v>
      </c>
      <c r="G1239" s="332">
        <f t="shared" si="38"/>
        <v>1.0676391764906425E-5</v>
      </c>
      <c r="H1239" s="331">
        <v>129409</v>
      </c>
      <c r="I1239" s="331">
        <v>0</v>
      </c>
      <c r="J1239" s="331">
        <f t="shared" si="39"/>
        <v>129409</v>
      </c>
      <c r="K1239" s="199">
        <v>4.71</v>
      </c>
      <c r="L1239" s="199">
        <v>2</v>
      </c>
    </row>
    <row r="1240" spans="1:12" ht="15" customHeight="1" x14ac:dyDescent="0.25">
      <c r="A1240" s="49">
        <v>1994</v>
      </c>
      <c r="B1240" s="330" t="s">
        <v>36</v>
      </c>
      <c r="C1240" s="331">
        <v>189335422603</v>
      </c>
      <c r="D1240" s="331">
        <v>44345417400</v>
      </c>
      <c r="E1240" s="331">
        <v>2073434824</v>
      </c>
      <c r="F1240" s="331">
        <v>2000260</v>
      </c>
      <c r="G1240" s="332">
        <f t="shared" si="38"/>
        <v>1.0564636941678688E-5</v>
      </c>
      <c r="H1240" s="331">
        <v>190467</v>
      </c>
      <c r="I1240" s="331">
        <v>0</v>
      </c>
      <c r="J1240" s="331">
        <f t="shared" si="39"/>
        <v>190467</v>
      </c>
      <c r="K1240" s="199">
        <v>4.68</v>
      </c>
      <c r="L1240" s="199">
        <v>2</v>
      </c>
    </row>
    <row r="1241" spans="1:12" ht="15" customHeight="1" x14ac:dyDescent="0.25">
      <c r="A1241" s="49">
        <v>1995</v>
      </c>
      <c r="B1241" s="330" t="s">
        <v>36</v>
      </c>
      <c r="C1241" s="331">
        <v>200117858914</v>
      </c>
      <c r="D1241" s="331">
        <v>44908187894</v>
      </c>
      <c r="E1241" s="331">
        <v>2039027259</v>
      </c>
      <c r="F1241" s="331">
        <v>1988026</v>
      </c>
      <c r="G1241" s="332">
        <f t="shared" si="38"/>
        <v>9.9342757852228853E-6</v>
      </c>
      <c r="H1241" s="331">
        <v>248978</v>
      </c>
      <c r="I1241" s="331">
        <v>0</v>
      </c>
      <c r="J1241" s="331">
        <f t="shared" si="39"/>
        <v>248978</v>
      </c>
      <c r="K1241" s="199">
        <v>4.54</v>
      </c>
      <c r="L1241" s="199">
        <v>1.64</v>
      </c>
    </row>
    <row r="1242" spans="1:12" ht="15" customHeight="1" x14ac:dyDescent="0.25">
      <c r="A1242" s="49">
        <v>1996</v>
      </c>
      <c r="B1242" s="330" t="s">
        <v>36</v>
      </c>
      <c r="C1242" s="331">
        <v>215037539267</v>
      </c>
      <c r="D1242" s="331">
        <v>45880931939</v>
      </c>
      <c r="E1242" s="331">
        <v>2021408563</v>
      </c>
      <c r="F1242" s="331">
        <v>1824319</v>
      </c>
      <c r="G1242" s="332">
        <f t="shared" si="38"/>
        <v>8.4837233825246015E-6</v>
      </c>
      <c r="H1242" s="331">
        <v>470400</v>
      </c>
      <c r="I1242" s="331">
        <v>0</v>
      </c>
      <c r="J1242" s="331">
        <f t="shared" si="39"/>
        <v>470400</v>
      </c>
      <c r="K1242" s="199">
        <v>4.41</v>
      </c>
      <c r="L1242" s="199">
        <v>1.46</v>
      </c>
    </row>
    <row r="1243" spans="1:12" ht="15" customHeight="1" x14ac:dyDescent="0.25">
      <c r="A1243" s="49">
        <v>1997</v>
      </c>
      <c r="B1243" s="330" t="s">
        <v>36</v>
      </c>
      <c r="C1243" s="331">
        <v>230531685971</v>
      </c>
      <c r="D1243" s="331">
        <v>47737322953</v>
      </c>
      <c r="E1243" s="331">
        <v>1932883301</v>
      </c>
      <c r="F1243" s="331">
        <v>1625912</v>
      </c>
      <c r="G1243" s="332">
        <f t="shared" si="38"/>
        <v>7.0528786233946749E-6</v>
      </c>
      <c r="H1243" s="331">
        <v>990176</v>
      </c>
      <c r="I1243" s="331">
        <v>0</v>
      </c>
      <c r="J1243" s="331">
        <f t="shared" si="39"/>
        <v>990176</v>
      </c>
      <c r="K1243" s="199">
        <v>4.05</v>
      </c>
      <c r="L1243" s="199">
        <v>1.37</v>
      </c>
    </row>
    <row r="1244" spans="1:12" ht="15" customHeight="1" x14ac:dyDescent="0.25">
      <c r="A1244" s="49">
        <v>1998</v>
      </c>
      <c r="B1244" s="330" t="s">
        <v>36</v>
      </c>
      <c r="C1244" s="331">
        <v>251825053086</v>
      </c>
      <c r="D1244" s="331">
        <v>50299224743</v>
      </c>
      <c r="E1244" s="331">
        <v>1538622918</v>
      </c>
      <c r="F1244" s="331">
        <v>1491963</v>
      </c>
      <c r="G1244" s="332">
        <f t="shared" si="38"/>
        <v>5.9246011535257545E-6</v>
      </c>
      <c r="H1244" s="331">
        <v>979950</v>
      </c>
      <c r="I1244" s="331">
        <v>0</v>
      </c>
      <c r="J1244" s="331">
        <f t="shared" si="39"/>
        <v>979950</v>
      </c>
      <c r="K1244" s="199">
        <v>3.06</v>
      </c>
      <c r="L1244" s="199">
        <v>1.33</v>
      </c>
    </row>
    <row r="1245" spans="1:12" ht="15" customHeight="1" x14ac:dyDescent="0.25">
      <c r="A1245" s="49">
        <v>1999</v>
      </c>
      <c r="B1245" s="330" t="s">
        <v>36</v>
      </c>
      <c r="C1245" s="331">
        <v>269292847712</v>
      </c>
      <c r="D1245" s="331">
        <v>59149719392</v>
      </c>
      <c r="E1245" s="331">
        <v>1579089046</v>
      </c>
      <c r="F1245" s="331">
        <v>1526780</v>
      </c>
      <c r="G1245" s="332">
        <f t="shared" si="38"/>
        <v>5.6695898646102995E-6</v>
      </c>
      <c r="H1245" s="331">
        <v>862781</v>
      </c>
      <c r="I1245" s="331">
        <v>0</v>
      </c>
      <c r="J1245" s="331">
        <f t="shared" si="39"/>
        <v>862781</v>
      </c>
      <c r="K1245" s="199">
        <v>2.67</v>
      </c>
      <c r="L1245" s="199">
        <v>1.33</v>
      </c>
    </row>
    <row r="1246" spans="1:12" ht="15" customHeight="1" x14ac:dyDescent="0.25">
      <c r="A1246" s="49">
        <v>2000</v>
      </c>
      <c r="B1246" s="330" t="s">
        <v>36</v>
      </c>
      <c r="C1246" s="331">
        <v>296838793352</v>
      </c>
      <c r="D1246" s="331">
        <v>61286824033</v>
      </c>
      <c r="E1246" s="331">
        <v>1929996346</v>
      </c>
      <c r="F1246" s="331">
        <v>1562935</v>
      </c>
      <c r="G1246" s="332">
        <f t="shared" si="38"/>
        <v>5.2652653056254229E-6</v>
      </c>
      <c r="H1246" s="331">
        <v>1204694</v>
      </c>
      <c r="I1246" s="331">
        <v>0</v>
      </c>
      <c r="J1246" s="331">
        <f t="shared" si="39"/>
        <v>1204694</v>
      </c>
      <c r="K1246" s="199">
        <v>3.15</v>
      </c>
      <c r="L1246" s="199">
        <v>1.33</v>
      </c>
    </row>
    <row r="1247" spans="1:12" ht="15" customHeight="1" x14ac:dyDescent="0.25">
      <c r="A1247" s="49">
        <v>2001</v>
      </c>
      <c r="B1247" s="330" t="s">
        <v>36</v>
      </c>
      <c r="C1247" s="331">
        <v>305852069577</v>
      </c>
      <c r="D1247" s="331">
        <v>60314379496</v>
      </c>
      <c r="E1247" s="331">
        <v>1805440337</v>
      </c>
      <c r="F1247" s="331">
        <v>2576227</v>
      </c>
      <c r="G1247" s="332">
        <f t="shared" si="38"/>
        <v>8.4231144931043865E-6</v>
      </c>
      <c r="H1247" s="331">
        <v>474866</v>
      </c>
      <c r="I1247" s="331">
        <v>0</v>
      </c>
      <c r="J1247" s="331">
        <f t="shared" si="39"/>
        <v>474866</v>
      </c>
      <c r="K1247" s="199">
        <v>2.99</v>
      </c>
      <c r="L1247" s="199">
        <v>1.29</v>
      </c>
    </row>
    <row r="1248" spans="1:12" ht="15" customHeight="1" x14ac:dyDescent="0.25">
      <c r="A1248" s="49">
        <v>2002</v>
      </c>
      <c r="B1248" s="330" t="s">
        <v>36</v>
      </c>
      <c r="C1248" s="331">
        <v>290568394481</v>
      </c>
      <c r="D1248" s="331">
        <v>57906280904</v>
      </c>
      <c r="E1248" s="331">
        <v>2059633871</v>
      </c>
      <c r="F1248" s="331">
        <v>3146517</v>
      </c>
      <c r="G1248" s="332">
        <f t="shared" si="38"/>
        <v>1.0828834311522989E-5</v>
      </c>
      <c r="H1248" s="331">
        <v>1279</v>
      </c>
      <c r="I1248" s="331">
        <v>197965</v>
      </c>
      <c r="J1248" s="331">
        <f t="shared" si="39"/>
        <v>-196686</v>
      </c>
      <c r="K1248" s="199">
        <v>3.56</v>
      </c>
      <c r="L1248" s="199">
        <v>1.29</v>
      </c>
    </row>
    <row r="1249" spans="1:12" ht="15" customHeight="1" x14ac:dyDescent="0.25">
      <c r="A1249" s="49">
        <v>2003</v>
      </c>
      <c r="B1249" s="330" t="s">
        <v>36</v>
      </c>
      <c r="C1249" s="331">
        <v>292838502169</v>
      </c>
      <c r="D1249" s="331">
        <v>57273795810</v>
      </c>
      <c r="E1249" s="331">
        <v>2414728574</v>
      </c>
      <c r="F1249" s="331">
        <v>2870752</v>
      </c>
      <c r="G1249" s="332">
        <f t="shared" si="38"/>
        <v>9.8031917891154245E-6</v>
      </c>
      <c r="H1249" s="331">
        <v>6635</v>
      </c>
      <c r="I1249" s="331">
        <v>751395</v>
      </c>
      <c r="J1249" s="331">
        <f t="shared" si="39"/>
        <v>-744760</v>
      </c>
      <c r="K1249" s="199">
        <v>4.22</v>
      </c>
      <c r="L1249" s="199">
        <v>1.29</v>
      </c>
    </row>
    <row r="1250" spans="1:12" ht="15" customHeight="1" x14ac:dyDescent="0.25">
      <c r="A1250" s="49">
        <v>2004</v>
      </c>
      <c r="B1250" s="330" t="s">
        <v>36</v>
      </c>
      <c r="C1250" s="331">
        <v>312304019209</v>
      </c>
      <c r="D1250" s="331">
        <v>58165143773</v>
      </c>
      <c r="E1250" s="331">
        <v>2484190086</v>
      </c>
      <c r="F1250" s="331">
        <v>2373928</v>
      </c>
      <c r="G1250" s="332">
        <f t="shared" si="38"/>
        <v>7.6013366911276307E-6</v>
      </c>
      <c r="H1250" s="331">
        <v>0</v>
      </c>
      <c r="I1250" s="331">
        <v>691332</v>
      </c>
      <c r="J1250" s="331">
        <f t="shared" si="39"/>
        <v>-691332</v>
      </c>
      <c r="K1250" s="199">
        <v>4.2699999999999996</v>
      </c>
      <c r="L1250" s="199">
        <v>1.29</v>
      </c>
    </row>
    <row r="1251" spans="1:12" ht="15" customHeight="1" x14ac:dyDescent="0.25">
      <c r="A1251" s="49">
        <v>2005</v>
      </c>
      <c r="B1251" s="330" t="s">
        <v>36</v>
      </c>
      <c r="C1251" s="331">
        <v>328993558230</v>
      </c>
      <c r="D1251" s="331">
        <v>59071328933</v>
      </c>
      <c r="E1251" s="331">
        <v>2449883363</v>
      </c>
      <c r="F1251" s="331">
        <v>2253483</v>
      </c>
      <c r="G1251" s="332">
        <f t="shared" si="38"/>
        <v>6.8496265158620095E-6</v>
      </c>
      <c r="H1251" s="331">
        <v>0</v>
      </c>
      <c r="I1251" s="331">
        <v>357319</v>
      </c>
      <c r="J1251" s="331">
        <f t="shared" si="39"/>
        <v>-357319</v>
      </c>
      <c r="K1251" s="199">
        <v>4.1500000000000004</v>
      </c>
      <c r="L1251" s="199">
        <v>1.29</v>
      </c>
    </row>
    <row r="1252" spans="1:12" ht="15" customHeight="1" x14ac:dyDescent="0.25">
      <c r="A1252" s="49">
        <v>2006</v>
      </c>
      <c r="B1252" s="330" t="s">
        <v>36</v>
      </c>
      <c r="C1252" s="331">
        <v>358452346476</v>
      </c>
      <c r="D1252" s="331">
        <v>60543949868</v>
      </c>
      <c r="E1252" s="331">
        <v>2415914467</v>
      </c>
      <c r="F1252" s="331">
        <v>2086684</v>
      </c>
      <c r="G1252" s="332">
        <f t="shared" si="38"/>
        <v>5.8213707359276918E-6</v>
      </c>
      <c r="H1252" s="331">
        <v>313162</v>
      </c>
      <c r="I1252" s="331">
        <v>0</v>
      </c>
      <c r="J1252" s="331">
        <f t="shared" si="39"/>
        <v>313162</v>
      </c>
      <c r="K1252" s="199">
        <v>3.99</v>
      </c>
      <c r="L1252" s="199">
        <v>1.29</v>
      </c>
    </row>
    <row r="1253" spans="1:12" ht="15" customHeight="1" x14ac:dyDescent="0.25">
      <c r="A1253" s="49">
        <v>2007</v>
      </c>
      <c r="B1253" s="330" t="s">
        <v>36</v>
      </c>
      <c r="C1253" s="331">
        <v>394280765472</v>
      </c>
      <c r="D1253" s="331">
        <v>62023534448</v>
      </c>
      <c r="E1253" s="331">
        <v>2158364073</v>
      </c>
      <c r="F1253" s="331">
        <v>2093803</v>
      </c>
      <c r="G1253" s="332">
        <f t="shared" si="38"/>
        <v>5.3104365806266859E-6</v>
      </c>
      <c r="H1253" s="331">
        <v>429723</v>
      </c>
      <c r="I1253" s="331">
        <v>0</v>
      </c>
      <c r="J1253" s="331">
        <f t="shared" si="39"/>
        <v>429723</v>
      </c>
      <c r="K1253" s="199">
        <v>3.48</v>
      </c>
      <c r="L1253" s="199">
        <v>1.29</v>
      </c>
    </row>
    <row r="1254" spans="1:12" ht="15" customHeight="1" x14ac:dyDescent="0.25">
      <c r="A1254" s="49">
        <v>2008</v>
      </c>
      <c r="B1254" s="330" t="s">
        <v>36</v>
      </c>
      <c r="C1254" s="331">
        <v>399312762147</v>
      </c>
      <c r="D1254" s="331">
        <v>61760858526</v>
      </c>
      <c r="E1254" s="331">
        <v>2124923585</v>
      </c>
      <c r="F1254" s="331">
        <v>2528050</v>
      </c>
      <c r="G1254" s="332">
        <f t="shared" si="38"/>
        <v>6.3310022610029744E-6</v>
      </c>
      <c r="H1254" s="331">
        <v>7084</v>
      </c>
      <c r="I1254" s="331">
        <v>0</v>
      </c>
      <c r="J1254" s="331">
        <f t="shared" si="39"/>
        <v>7084</v>
      </c>
      <c r="K1254" s="199">
        <v>3.4</v>
      </c>
      <c r="L1254" s="199">
        <v>1.29</v>
      </c>
    </row>
    <row r="1255" spans="1:12" ht="15" customHeight="1" x14ac:dyDescent="0.25">
      <c r="A1255" s="49">
        <v>2009</v>
      </c>
      <c r="B1255" s="330" t="s">
        <v>36</v>
      </c>
      <c r="C1255" s="331">
        <v>358180047570</v>
      </c>
      <c r="D1255" s="331">
        <v>58246553602</v>
      </c>
      <c r="E1255" s="331">
        <v>2178273386</v>
      </c>
      <c r="F1255" s="331">
        <v>4594152</v>
      </c>
      <c r="G1255" s="332">
        <f t="shared" si="38"/>
        <v>1.2826376095396976E-5</v>
      </c>
      <c r="H1255" s="331">
        <v>41752</v>
      </c>
      <c r="I1255" s="331">
        <v>2160189</v>
      </c>
      <c r="J1255" s="331">
        <f t="shared" si="39"/>
        <v>-2118437</v>
      </c>
      <c r="K1255" s="199">
        <v>3.7</v>
      </c>
      <c r="L1255" s="199">
        <v>1.34</v>
      </c>
    </row>
    <row r="1256" spans="1:12" ht="15" customHeight="1" x14ac:dyDescent="0.25">
      <c r="A1256" s="49">
        <v>2010</v>
      </c>
      <c r="B1256" s="330" t="s">
        <v>36</v>
      </c>
      <c r="C1256" s="331">
        <v>376066995071</v>
      </c>
      <c r="D1256" s="331">
        <v>58884303037</v>
      </c>
      <c r="E1256" s="331">
        <v>2663516864</v>
      </c>
      <c r="F1256" s="331">
        <v>3534563</v>
      </c>
      <c r="G1256" s="332">
        <f t="shared" si="38"/>
        <v>9.3987588550085017E-6</v>
      </c>
      <c r="H1256" s="331">
        <v>34713</v>
      </c>
      <c r="I1256" s="331">
        <v>3134427</v>
      </c>
      <c r="J1256" s="331">
        <f t="shared" si="39"/>
        <v>-3099714</v>
      </c>
      <c r="K1256" s="199">
        <v>4.5</v>
      </c>
      <c r="L1256" s="199">
        <v>1.34</v>
      </c>
    </row>
    <row r="1257" spans="1:12" ht="15" customHeight="1" x14ac:dyDescent="0.25">
      <c r="A1257" s="49">
        <v>2011</v>
      </c>
      <c r="B1257" s="330" t="s">
        <v>36</v>
      </c>
      <c r="C1257" s="331">
        <v>394534179134</v>
      </c>
      <c r="D1257" s="331">
        <v>60764428517</v>
      </c>
      <c r="E1257" s="331">
        <v>2808453903</v>
      </c>
      <c r="F1257" s="331">
        <v>3082645</v>
      </c>
      <c r="G1257" s="332">
        <f t="shared" si="38"/>
        <v>7.8133788225050265E-6</v>
      </c>
      <c r="H1257" s="331">
        <v>29837</v>
      </c>
      <c r="I1257" s="331">
        <v>3436549</v>
      </c>
      <c r="J1257" s="331">
        <f t="shared" si="39"/>
        <v>-3406712</v>
      </c>
      <c r="K1257" s="199">
        <v>4.5999999999999996</v>
      </c>
      <c r="L1257" s="199">
        <v>1.34</v>
      </c>
    </row>
    <row r="1258" spans="1:12" ht="15" customHeight="1" x14ac:dyDescent="0.25">
      <c r="A1258" s="49">
        <v>2012</v>
      </c>
      <c r="B1258" s="330" t="s">
        <v>36</v>
      </c>
      <c r="C1258" s="331">
        <v>408083292252</v>
      </c>
      <c r="D1258" s="331">
        <v>62281655099</v>
      </c>
      <c r="E1258" s="331">
        <v>2854104526</v>
      </c>
      <c r="F1258" s="331">
        <v>3043106</v>
      </c>
      <c r="G1258" s="332">
        <f t="shared" si="38"/>
        <v>7.457070793579116E-6</v>
      </c>
      <c r="H1258" s="331">
        <v>27266</v>
      </c>
      <c r="I1258" s="331">
        <v>3461890</v>
      </c>
      <c r="J1258" s="331">
        <f t="shared" si="39"/>
        <v>-3434624</v>
      </c>
      <c r="K1258" s="199">
        <v>4.58</v>
      </c>
      <c r="L1258" s="199">
        <v>1.34</v>
      </c>
    </row>
    <row r="1259" spans="1:12" ht="15" customHeight="1" x14ac:dyDescent="0.25">
      <c r="A1259" s="49">
        <v>2013</v>
      </c>
      <c r="B1259" s="330" t="s">
        <v>36</v>
      </c>
      <c r="C1259" s="331">
        <v>416832792542</v>
      </c>
      <c r="D1259" s="331">
        <v>64141802481</v>
      </c>
      <c r="E1259" s="331">
        <v>2908409912</v>
      </c>
      <c r="F1259" s="331">
        <v>2807535</v>
      </c>
      <c r="G1259" s="332">
        <f t="shared" si="38"/>
        <v>6.735398582435458E-6</v>
      </c>
      <c r="H1259" s="331">
        <v>18575</v>
      </c>
      <c r="I1259" s="331">
        <v>3072430</v>
      </c>
      <c r="J1259" s="331">
        <f t="shared" si="39"/>
        <v>-3053855</v>
      </c>
      <c r="K1259" s="199">
        <v>4.53</v>
      </c>
      <c r="L1259" s="199">
        <v>1.34</v>
      </c>
    </row>
    <row r="1260" spans="1:12" ht="15" customHeight="1" x14ac:dyDescent="0.25">
      <c r="A1260" s="49">
        <v>2014</v>
      </c>
      <c r="B1260" s="330" t="s">
        <v>36</v>
      </c>
      <c r="C1260" s="331">
        <v>447050179176</v>
      </c>
      <c r="D1260" s="331">
        <v>77440657277</v>
      </c>
      <c r="E1260" s="331">
        <v>3477278122</v>
      </c>
      <c r="F1260" s="331">
        <v>2356334</v>
      </c>
      <c r="G1260" s="332">
        <f t="shared" si="38"/>
        <v>5.2708490226828218E-6</v>
      </c>
      <c r="H1260" s="331">
        <v>1960</v>
      </c>
      <c r="I1260" s="331">
        <v>1528955</v>
      </c>
      <c r="J1260" s="331">
        <f t="shared" si="39"/>
        <v>-1526995</v>
      </c>
      <c r="K1260" s="333">
        <v>4.4902487198191139</v>
      </c>
      <c r="L1260" s="199">
        <v>1.34</v>
      </c>
    </row>
    <row r="1261" spans="1:12" x14ac:dyDescent="0.25">
      <c r="A1261" s="49">
        <v>2015</v>
      </c>
      <c r="B1261" s="330" t="s">
        <v>36</v>
      </c>
      <c r="C1261" s="334">
        <v>467519325000</v>
      </c>
      <c r="D1261" s="334">
        <v>81227922000</v>
      </c>
      <c r="E1261" s="334">
        <v>3349177000</v>
      </c>
      <c r="F1261" s="331">
        <v>2156163</v>
      </c>
      <c r="G1261" s="332">
        <f t="shared" si="38"/>
        <v>4.6119227264028068E-6</v>
      </c>
      <c r="H1261" s="331">
        <v>288063</v>
      </c>
      <c r="I1261" s="199">
        <v>0</v>
      </c>
      <c r="J1261" s="331">
        <f t="shared" si="39"/>
        <v>288063</v>
      </c>
      <c r="K1261" s="199">
        <v>4.0999999999999996</v>
      </c>
      <c r="L1261" s="199">
        <v>1.34</v>
      </c>
    </row>
    <row r="1262" spans="1:12" ht="15" customHeight="1" x14ac:dyDescent="0.25">
      <c r="A1262" s="49">
        <v>1980</v>
      </c>
      <c r="B1262" s="330" t="s">
        <v>37</v>
      </c>
      <c r="C1262" s="331">
        <v>51836113202</v>
      </c>
      <c r="D1262" s="331">
        <v>20762163866</v>
      </c>
      <c r="E1262" s="331">
        <v>458584827</v>
      </c>
      <c r="F1262" s="331">
        <v>1084655</v>
      </c>
      <c r="G1262" s="332">
        <f t="shared" si="38"/>
        <v>2.0924697725178796E-5</v>
      </c>
      <c r="H1262" s="331">
        <v>70360</v>
      </c>
      <c r="I1262" s="331">
        <v>245778</v>
      </c>
      <c r="J1262" s="331">
        <f t="shared" si="39"/>
        <v>-175418</v>
      </c>
      <c r="K1262" s="199">
        <v>2.21</v>
      </c>
      <c r="L1262" s="199">
        <v>2.13</v>
      </c>
    </row>
    <row r="1263" spans="1:12" ht="15" customHeight="1" x14ac:dyDescent="0.25">
      <c r="A1263" s="49">
        <v>1981</v>
      </c>
      <c r="B1263" s="330" t="s">
        <v>37</v>
      </c>
      <c r="C1263" s="331">
        <v>55346195165</v>
      </c>
      <c r="D1263" s="331">
        <v>20612913649</v>
      </c>
      <c r="E1263" s="331">
        <v>556233391</v>
      </c>
      <c r="F1263" s="331">
        <v>867601</v>
      </c>
      <c r="G1263" s="332">
        <f t="shared" si="38"/>
        <v>1.5675892397182458E-5</v>
      </c>
      <c r="H1263" s="331">
        <v>41697</v>
      </c>
      <c r="I1263" s="331">
        <v>599933</v>
      </c>
      <c r="J1263" s="331">
        <f t="shared" si="39"/>
        <v>-558236</v>
      </c>
      <c r="K1263" s="199">
        <v>2.7</v>
      </c>
      <c r="L1263" s="199">
        <v>1.99</v>
      </c>
    </row>
    <row r="1264" spans="1:12" ht="15" customHeight="1" x14ac:dyDescent="0.25">
      <c r="A1264" s="49">
        <v>1982</v>
      </c>
      <c r="B1264" s="330" t="s">
        <v>37</v>
      </c>
      <c r="C1264" s="331">
        <v>54604302954</v>
      </c>
      <c r="D1264" s="331">
        <v>19613638161</v>
      </c>
      <c r="E1264" s="331">
        <v>555246556</v>
      </c>
      <c r="F1264" s="331">
        <v>1495839</v>
      </c>
      <c r="G1264" s="332">
        <f t="shared" si="38"/>
        <v>2.7394159783710293E-5</v>
      </c>
      <c r="H1264" s="331">
        <v>0</v>
      </c>
      <c r="I1264" s="331">
        <v>1658127</v>
      </c>
      <c r="J1264" s="331">
        <f t="shared" si="39"/>
        <v>-1658127</v>
      </c>
      <c r="K1264" s="199">
        <v>2.83</v>
      </c>
      <c r="L1264" s="199">
        <v>2.46</v>
      </c>
    </row>
    <row r="1265" spans="1:12" ht="15" customHeight="1" x14ac:dyDescent="0.25">
      <c r="A1265" s="49">
        <v>1983</v>
      </c>
      <c r="B1265" s="330" t="s">
        <v>37</v>
      </c>
      <c r="C1265" s="331">
        <v>56587217051</v>
      </c>
      <c r="D1265" s="331">
        <v>21901341697</v>
      </c>
      <c r="E1265" s="331">
        <v>765281433</v>
      </c>
      <c r="F1265" s="331">
        <v>989502</v>
      </c>
      <c r="G1265" s="332">
        <f t="shared" si="38"/>
        <v>1.7486316726058427E-5</v>
      </c>
      <c r="H1265" s="331">
        <v>0</v>
      </c>
      <c r="I1265" s="331">
        <v>1976065</v>
      </c>
      <c r="J1265" s="331">
        <f t="shared" si="39"/>
        <v>-1976065</v>
      </c>
      <c r="K1265" s="199">
        <v>3.49</v>
      </c>
      <c r="L1265" s="199">
        <v>2.46</v>
      </c>
    </row>
    <row r="1266" spans="1:12" ht="15" customHeight="1" x14ac:dyDescent="0.25">
      <c r="A1266" s="49">
        <v>1984</v>
      </c>
      <c r="B1266" s="330" t="s">
        <v>37</v>
      </c>
      <c r="C1266" s="331">
        <v>62657100378</v>
      </c>
      <c r="D1266" s="331">
        <v>25648105442</v>
      </c>
      <c r="E1266" s="331">
        <v>1077807712</v>
      </c>
      <c r="F1266" s="331">
        <v>639334</v>
      </c>
      <c r="G1266" s="332">
        <f t="shared" si="38"/>
        <v>1.0203695928202917E-5</v>
      </c>
      <c r="H1266" s="331">
        <v>0</v>
      </c>
      <c r="I1266" s="331">
        <v>1446205</v>
      </c>
      <c r="J1266" s="331">
        <f t="shared" si="39"/>
        <v>-1446205</v>
      </c>
      <c r="K1266" s="199">
        <v>4.2</v>
      </c>
      <c r="L1266" s="199">
        <v>2.46</v>
      </c>
    </row>
    <row r="1267" spans="1:12" ht="15" customHeight="1" x14ac:dyDescent="0.25">
      <c r="A1267" s="49">
        <v>1985</v>
      </c>
      <c r="B1267" s="330" t="s">
        <v>37</v>
      </c>
      <c r="C1267" s="331">
        <v>66681854017</v>
      </c>
      <c r="D1267" s="331">
        <v>26509561050</v>
      </c>
      <c r="E1267" s="331">
        <v>1036167020</v>
      </c>
      <c r="F1267" s="331">
        <v>722560</v>
      </c>
      <c r="G1267" s="332">
        <f t="shared" si="38"/>
        <v>1.0835931463690095E-5</v>
      </c>
      <c r="H1267" s="331">
        <v>0</v>
      </c>
      <c r="I1267" s="331">
        <v>976439</v>
      </c>
      <c r="J1267" s="331">
        <f t="shared" si="39"/>
        <v>-976439</v>
      </c>
      <c r="K1267" s="199">
        <v>3.91</v>
      </c>
      <c r="L1267" s="199">
        <v>2.46</v>
      </c>
    </row>
    <row r="1268" spans="1:12" ht="15" customHeight="1" x14ac:dyDescent="0.25">
      <c r="A1268" s="49">
        <v>1986</v>
      </c>
      <c r="B1268" s="330" t="s">
        <v>37</v>
      </c>
      <c r="C1268" s="331">
        <v>69670855176</v>
      </c>
      <c r="D1268" s="331">
        <v>27179071985</v>
      </c>
      <c r="E1268" s="331">
        <v>980463747</v>
      </c>
      <c r="F1268" s="331">
        <v>712401</v>
      </c>
      <c r="G1268" s="332">
        <f t="shared" si="38"/>
        <v>1.0225236911479818E-5</v>
      </c>
      <c r="H1268" s="331">
        <v>0</v>
      </c>
      <c r="I1268" s="331">
        <v>522747</v>
      </c>
      <c r="J1268" s="331">
        <f t="shared" si="39"/>
        <v>-522747</v>
      </c>
      <c r="K1268" s="199">
        <v>3.61</v>
      </c>
      <c r="L1268" s="199">
        <v>2.46</v>
      </c>
    </row>
    <row r="1269" spans="1:12" ht="15" customHeight="1" x14ac:dyDescent="0.25">
      <c r="A1269" s="49">
        <v>1987</v>
      </c>
      <c r="B1269" s="330" t="s">
        <v>37</v>
      </c>
      <c r="C1269" s="331">
        <v>73754459896</v>
      </c>
      <c r="D1269" s="331">
        <v>28044445706</v>
      </c>
      <c r="E1269" s="331">
        <v>971802289</v>
      </c>
      <c r="F1269" s="331">
        <v>624436</v>
      </c>
      <c r="G1269" s="332">
        <f t="shared" si="38"/>
        <v>8.4664168225285276E-6</v>
      </c>
      <c r="H1269" s="331">
        <v>213637</v>
      </c>
      <c r="I1269" s="331">
        <v>0</v>
      </c>
      <c r="J1269" s="331">
        <f t="shared" si="39"/>
        <v>213637</v>
      </c>
      <c r="K1269" s="199">
        <v>3.47</v>
      </c>
      <c r="L1269" s="199">
        <v>2.46</v>
      </c>
    </row>
    <row r="1270" spans="1:12" ht="15" customHeight="1" x14ac:dyDescent="0.25">
      <c r="A1270" s="49">
        <v>1988</v>
      </c>
      <c r="B1270" s="330" t="s">
        <v>37</v>
      </c>
      <c r="C1270" s="331">
        <v>79235103586</v>
      </c>
      <c r="D1270" s="331">
        <v>29043780826</v>
      </c>
      <c r="E1270" s="331">
        <v>861059790</v>
      </c>
      <c r="F1270" s="331">
        <v>555434</v>
      </c>
      <c r="G1270" s="332">
        <f t="shared" si="38"/>
        <v>7.0099485564140703E-6</v>
      </c>
      <c r="H1270" s="331">
        <v>443891</v>
      </c>
      <c r="I1270" s="331">
        <v>0</v>
      </c>
      <c r="J1270" s="331">
        <f t="shared" si="39"/>
        <v>443891</v>
      </c>
      <c r="K1270" s="199">
        <v>2.96</v>
      </c>
      <c r="L1270" s="199">
        <v>2.46</v>
      </c>
    </row>
    <row r="1271" spans="1:12" ht="15" customHeight="1" x14ac:dyDescent="0.25">
      <c r="A1271" s="49">
        <v>1989</v>
      </c>
      <c r="B1271" s="330" t="s">
        <v>37</v>
      </c>
      <c r="C1271" s="331">
        <v>82920501190</v>
      </c>
      <c r="D1271" s="331">
        <v>30000093658</v>
      </c>
      <c r="E1271" s="331">
        <v>813082831</v>
      </c>
      <c r="F1271" s="331">
        <v>511368</v>
      </c>
      <c r="G1271" s="332">
        <f t="shared" si="38"/>
        <v>6.166967066784561E-6</v>
      </c>
      <c r="H1271" s="331">
        <v>778471</v>
      </c>
      <c r="I1271" s="331">
        <v>0</v>
      </c>
      <c r="J1271" s="331">
        <f t="shared" si="39"/>
        <v>778471</v>
      </c>
      <c r="K1271" s="199">
        <v>2.71</v>
      </c>
      <c r="L1271" s="199">
        <v>2.46</v>
      </c>
    </row>
    <row r="1272" spans="1:12" ht="15" customHeight="1" x14ac:dyDescent="0.25">
      <c r="A1272" s="49">
        <v>1990</v>
      </c>
      <c r="B1272" s="330" t="s">
        <v>37</v>
      </c>
      <c r="C1272" s="331">
        <v>86770069914</v>
      </c>
      <c r="D1272" s="331">
        <v>30490892857</v>
      </c>
      <c r="E1272" s="331">
        <v>742677151</v>
      </c>
      <c r="F1272" s="331">
        <v>703353</v>
      </c>
      <c r="G1272" s="332">
        <f t="shared" si="38"/>
        <v>8.1059402245164817E-6</v>
      </c>
      <c r="H1272" s="331">
        <v>886582</v>
      </c>
      <c r="I1272" s="331">
        <v>0</v>
      </c>
      <c r="J1272" s="331">
        <f t="shared" si="39"/>
        <v>886582</v>
      </c>
      <c r="K1272" s="199">
        <v>2.44</v>
      </c>
      <c r="L1272" s="199">
        <v>2.46</v>
      </c>
    </row>
    <row r="1273" spans="1:12" ht="15" customHeight="1" x14ac:dyDescent="0.25">
      <c r="A1273" s="49">
        <v>1991</v>
      </c>
      <c r="B1273" s="330" t="s">
        <v>37</v>
      </c>
      <c r="C1273" s="331">
        <v>87532883476</v>
      </c>
      <c r="D1273" s="331">
        <v>30620798541</v>
      </c>
      <c r="E1273" s="331">
        <v>719505770</v>
      </c>
      <c r="F1273" s="331">
        <v>1011479</v>
      </c>
      <c r="G1273" s="332">
        <f t="shared" si="38"/>
        <v>1.1555417345269221E-5</v>
      </c>
      <c r="H1273" s="331">
        <v>647410</v>
      </c>
      <c r="I1273" s="331">
        <v>0</v>
      </c>
      <c r="J1273" s="331">
        <f t="shared" si="39"/>
        <v>647410</v>
      </c>
      <c r="K1273" s="199">
        <v>2.35</v>
      </c>
      <c r="L1273" s="199">
        <v>2.46</v>
      </c>
    </row>
    <row r="1274" spans="1:12" ht="15" customHeight="1" x14ac:dyDescent="0.25">
      <c r="A1274" s="49">
        <v>1992</v>
      </c>
      <c r="B1274" s="330" t="s">
        <v>37</v>
      </c>
      <c r="C1274" s="331">
        <v>92607212717</v>
      </c>
      <c r="D1274" s="331">
        <v>31261389067</v>
      </c>
      <c r="E1274" s="331">
        <v>876051434</v>
      </c>
      <c r="F1274" s="331">
        <v>936647</v>
      </c>
      <c r="G1274" s="332">
        <f t="shared" si="38"/>
        <v>1.01141905961722E-5</v>
      </c>
      <c r="H1274" s="331">
        <v>602464</v>
      </c>
      <c r="I1274" s="331">
        <v>0</v>
      </c>
      <c r="J1274" s="331">
        <f t="shared" si="39"/>
        <v>602464</v>
      </c>
      <c r="K1274" s="199">
        <v>2.8</v>
      </c>
      <c r="L1274" s="199">
        <v>2.46</v>
      </c>
    </row>
    <row r="1275" spans="1:12" ht="15" customHeight="1" x14ac:dyDescent="0.25">
      <c r="A1275" s="49">
        <v>1993</v>
      </c>
      <c r="B1275" s="330" t="s">
        <v>37</v>
      </c>
      <c r="C1275" s="331">
        <v>96147424876</v>
      </c>
      <c r="D1275" s="331">
        <v>32695211935</v>
      </c>
      <c r="E1275" s="331">
        <v>922763179</v>
      </c>
      <c r="F1275" s="331">
        <v>710403</v>
      </c>
      <c r="G1275" s="332">
        <f t="shared" si="38"/>
        <v>7.3886846258877648E-6</v>
      </c>
      <c r="H1275" s="331">
        <v>845054</v>
      </c>
      <c r="I1275" s="331">
        <v>0</v>
      </c>
      <c r="J1275" s="331">
        <f t="shared" si="39"/>
        <v>845054</v>
      </c>
      <c r="K1275" s="199">
        <v>2.82</v>
      </c>
      <c r="L1275" s="199">
        <v>2.46</v>
      </c>
    </row>
    <row r="1276" spans="1:12" ht="15" customHeight="1" x14ac:dyDescent="0.25">
      <c r="A1276" s="49">
        <v>1994</v>
      </c>
      <c r="B1276" s="330" t="s">
        <v>37</v>
      </c>
      <c r="C1276" s="331">
        <v>102997131381</v>
      </c>
      <c r="D1276" s="331">
        <v>35219879507</v>
      </c>
      <c r="E1276" s="331">
        <v>975217490</v>
      </c>
      <c r="F1276" s="331">
        <v>690031</v>
      </c>
      <c r="G1276" s="332">
        <f t="shared" si="38"/>
        <v>6.6995166831150292E-6</v>
      </c>
      <c r="H1276" s="331">
        <v>1166837</v>
      </c>
      <c r="I1276" s="331">
        <v>0</v>
      </c>
      <c r="J1276" s="331">
        <f t="shared" si="39"/>
        <v>1166837</v>
      </c>
      <c r="K1276" s="199">
        <v>2.77</v>
      </c>
      <c r="L1276" s="199">
        <v>2.46</v>
      </c>
    </row>
    <row r="1277" spans="1:12" ht="15" customHeight="1" x14ac:dyDescent="0.25">
      <c r="A1277" s="49">
        <v>1995</v>
      </c>
      <c r="B1277" s="330" t="s">
        <v>37</v>
      </c>
      <c r="C1277" s="331">
        <v>109441234595</v>
      </c>
      <c r="D1277" s="331">
        <v>37256403470</v>
      </c>
      <c r="E1277" s="331">
        <v>991216268</v>
      </c>
      <c r="F1277" s="331">
        <v>647673</v>
      </c>
      <c r="G1277" s="332">
        <f t="shared" si="38"/>
        <v>5.9179979319201685E-6</v>
      </c>
      <c r="H1277" s="331">
        <v>1600533</v>
      </c>
      <c r="I1277" s="331">
        <v>0</v>
      </c>
      <c r="J1277" s="331">
        <f t="shared" si="39"/>
        <v>1600533</v>
      </c>
      <c r="K1277" s="199">
        <v>2.66</v>
      </c>
      <c r="L1277" s="199">
        <v>2.4300000000000002</v>
      </c>
    </row>
    <row r="1278" spans="1:12" ht="15" customHeight="1" x14ac:dyDescent="0.25">
      <c r="A1278" s="49">
        <v>1996</v>
      </c>
      <c r="B1278" s="330" t="s">
        <v>37</v>
      </c>
      <c r="C1278" s="331">
        <v>115203894325</v>
      </c>
      <c r="D1278" s="331">
        <v>38450778354</v>
      </c>
      <c r="E1278" s="331">
        <v>871798715</v>
      </c>
      <c r="F1278" s="331">
        <v>699761</v>
      </c>
      <c r="G1278" s="332">
        <f t="shared" si="38"/>
        <v>6.0741089014396906E-6</v>
      </c>
      <c r="H1278" s="331">
        <v>1750968</v>
      </c>
      <c r="I1278" s="331">
        <v>0</v>
      </c>
      <c r="J1278" s="331">
        <f t="shared" si="39"/>
        <v>1750968</v>
      </c>
      <c r="K1278" s="199">
        <v>2.27</v>
      </c>
      <c r="L1278" s="199">
        <v>2.4300000000000002</v>
      </c>
    </row>
    <row r="1279" spans="1:12" ht="15" customHeight="1" x14ac:dyDescent="0.25">
      <c r="A1279" s="49">
        <v>1997</v>
      </c>
      <c r="B1279" s="330" t="s">
        <v>37</v>
      </c>
      <c r="C1279" s="331">
        <v>123183522621</v>
      </c>
      <c r="D1279" s="331">
        <v>39954384615</v>
      </c>
      <c r="E1279" s="331">
        <v>670231139</v>
      </c>
      <c r="F1279" s="331">
        <v>662961</v>
      </c>
      <c r="G1279" s="332">
        <f t="shared" si="38"/>
        <v>5.3818967496143039E-6</v>
      </c>
      <c r="H1279" s="331">
        <v>1874943</v>
      </c>
      <c r="I1279" s="331">
        <v>0</v>
      </c>
      <c r="J1279" s="331">
        <f t="shared" si="39"/>
        <v>1874943</v>
      </c>
      <c r="K1279" s="199">
        <v>1.68</v>
      </c>
      <c r="L1279" s="199">
        <v>2.4300000000000002</v>
      </c>
    </row>
    <row r="1280" spans="1:12" ht="15" customHeight="1" x14ac:dyDescent="0.25">
      <c r="A1280" s="49">
        <v>1998</v>
      </c>
      <c r="B1280" s="330" t="s">
        <v>37</v>
      </c>
      <c r="C1280" s="331">
        <v>131572432891</v>
      </c>
      <c r="D1280" s="331">
        <v>41292522502</v>
      </c>
      <c r="E1280" s="331">
        <v>675466455</v>
      </c>
      <c r="F1280" s="331">
        <v>656908</v>
      </c>
      <c r="G1280" s="332">
        <f t="shared" si="38"/>
        <v>4.9927479910948327E-6</v>
      </c>
      <c r="H1280" s="331">
        <v>2027626</v>
      </c>
      <c r="I1280" s="331">
        <v>0</v>
      </c>
      <c r="J1280" s="331">
        <f t="shared" si="39"/>
        <v>2027626</v>
      </c>
      <c r="K1280" s="199">
        <v>1.64</v>
      </c>
      <c r="L1280" s="199">
        <v>2.4300000000000002</v>
      </c>
    </row>
    <row r="1281" spans="1:12" ht="15" customHeight="1" x14ac:dyDescent="0.25">
      <c r="A1281" s="49">
        <v>1999</v>
      </c>
      <c r="B1281" s="330" t="s">
        <v>37</v>
      </c>
      <c r="C1281" s="331">
        <v>138146793516</v>
      </c>
      <c r="D1281" s="331">
        <v>42546759517</v>
      </c>
      <c r="E1281" s="331">
        <v>649704614</v>
      </c>
      <c r="F1281" s="331">
        <v>664928</v>
      </c>
      <c r="G1281" s="332">
        <f t="shared" si="38"/>
        <v>4.8131989391631364E-6</v>
      </c>
      <c r="H1281" s="331">
        <v>2151863</v>
      </c>
      <c r="I1281" s="331">
        <v>0</v>
      </c>
      <c r="J1281" s="331">
        <f t="shared" si="39"/>
        <v>2151863</v>
      </c>
      <c r="K1281" s="199">
        <v>1.53</v>
      </c>
      <c r="L1281" s="199">
        <v>2.4300000000000002</v>
      </c>
    </row>
    <row r="1282" spans="1:12" ht="15" customHeight="1" x14ac:dyDescent="0.25">
      <c r="A1282" s="49">
        <v>2000</v>
      </c>
      <c r="B1282" s="330" t="s">
        <v>37</v>
      </c>
      <c r="C1282" s="331">
        <v>143866924632</v>
      </c>
      <c r="D1282" s="331">
        <v>43455349675</v>
      </c>
      <c r="E1282" s="331">
        <v>640006405</v>
      </c>
      <c r="F1282" s="331">
        <v>719372</v>
      </c>
      <c r="G1282" s="332">
        <f t="shared" ref="G1282:G1345" si="40">F1282/C1282</f>
        <v>5.0002598014804002E-6</v>
      </c>
      <c r="H1282" s="331">
        <v>2235972</v>
      </c>
      <c r="I1282" s="331">
        <v>0</v>
      </c>
      <c r="J1282" s="331">
        <f t="shared" ref="J1282:J1345" si="41">H1282-I1282</f>
        <v>2235972</v>
      </c>
      <c r="K1282" s="199">
        <v>1.47</v>
      </c>
      <c r="L1282" s="199">
        <v>2.4300000000000002</v>
      </c>
    </row>
    <row r="1283" spans="1:12" ht="15" customHeight="1" x14ac:dyDescent="0.25">
      <c r="A1283" s="49">
        <v>2001</v>
      </c>
      <c r="B1283" s="330" t="s">
        <v>37</v>
      </c>
      <c r="C1283" s="331">
        <v>143355807182</v>
      </c>
      <c r="D1283" s="331">
        <v>41933913575</v>
      </c>
      <c r="E1283" s="331">
        <v>595744933</v>
      </c>
      <c r="F1283" s="331">
        <v>1213018</v>
      </c>
      <c r="G1283" s="332">
        <f t="shared" si="40"/>
        <v>8.4615895501184042E-6</v>
      </c>
      <c r="H1283" s="331">
        <v>1904017</v>
      </c>
      <c r="I1283" s="331">
        <v>0</v>
      </c>
      <c r="J1283" s="331">
        <f t="shared" si="41"/>
        <v>1904017</v>
      </c>
      <c r="K1283" s="199">
        <v>1.42</v>
      </c>
      <c r="L1283" s="199">
        <v>2.23</v>
      </c>
    </row>
    <row r="1284" spans="1:12" ht="15" customHeight="1" x14ac:dyDescent="0.25">
      <c r="A1284" s="49">
        <v>2002</v>
      </c>
      <c r="B1284" s="330" t="s">
        <v>37</v>
      </c>
      <c r="C1284" s="331">
        <v>142753711496</v>
      </c>
      <c r="D1284" s="331">
        <v>40834380071</v>
      </c>
      <c r="E1284" s="331">
        <v>656702884</v>
      </c>
      <c r="F1284" s="331">
        <v>1443058</v>
      </c>
      <c r="G1284" s="332">
        <f t="shared" si="40"/>
        <v>1.0108724914241091E-5</v>
      </c>
      <c r="H1284" s="331">
        <v>1537038</v>
      </c>
      <c r="I1284" s="331">
        <v>0</v>
      </c>
      <c r="J1284" s="331">
        <f t="shared" si="41"/>
        <v>1537038</v>
      </c>
      <c r="K1284" s="199">
        <v>1.6</v>
      </c>
      <c r="L1284" s="199">
        <v>2.23</v>
      </c>
    </row>
    <row r="1285" spans="1:12" ht="15" customHeight="1" x14ac:dyDescent="0.25">
      <c r="A1285" s="49">
        <v>2003</v>
      </c>
      <c r="B1285" s="330" t="s">
        <v>37</v>
      </c>
      <c r="C1285" s="331">
        <v>144170517902</v>
      </c>
      <c r="D1285" s="331">
        <v>40188000776</v>
      </c>
      <c r="E1285" s="331">
        <v>704926270</v>
      </c>
      <c r="F1285" s="331">
        <v>1400673</v>
      </c>
      <c r="G1285" s="332">
        <f t="shared" si="40"/>
        <v>9.7153913323118425E-6</v>
      </c>
      <c r="H1285" s="331">
        <v>882554</v>
      </c>
      <c r="I1285" s="331">
        <v>0</v>
      </c>
      <c r="J1285" s="331">
        <f t="shared" si="41"/>
        <v>882554</v>
      </c>
      <c r="K1285" s="199">
        <v>1.75</v>
      </c>
      <c r="L1285" s="199">
        <v>2.23</v>
      </c>
    </row>
    <row r="1286" spans="1:12" ht="15" customHeight="1" x14ac:dyDescent="0.25">
      <c r="A1286" s="49">
        <v>2004</v>
      </c>
      <c r="B1286" s="330" t="s">
        <v>37</v>
      </c>
      <c r="C1286" s="331">
        <v>149665695527</v>
      </c>
      <c r="D1286" s="331">
        <v>40583959700</v>
      </c>
      <c r="E1286" s="331">
        <v>889043492</v>
      </c>
      <c r="F1286" s="331">
        <v>1171046</v>
      </c>
      <c r="G1286" s="332">
        <f t="shared" si="40"/>
        <v>7.8244115719138924E-6</v>
      </c>
      <c r="H1286" s="331">
        <v>643538</v>
      </c>
      <c r="I1286" s="331">
        <v>0</v>
      </c>
      <c r="J1286" s="331">
        <f t="shared" si="41"/>
        <v>643538</v>
      </c>
      <c r="K1286" s="199">
        <v>2.19</v>
      </c>
      <c r="L1286" s="199">
        <v>2.23</v>
      </c>
    </row>
    <row r="1287" spans="1:12" ht="15" customHeight="1" x14ac:dyDescent="0.25">
      <c r="A1287" s="49">
        <v>2005</v>
      </c>
      <c r="B1287" s="330" t="s">
        <v>37</v>
      </c>
      <c r="C1287" s="331">
        <v>153872441637</v>
      </c>
      <c r="D1287" s="331">
        <v>40914643719</v>
      </c>
      <c r="E1287" s="331">
        <v>945514055</v>
      </c>
      <c r="F1287" s="331">
        <v>1063140</v>
      </c>
      <c r="G1287" s="332">
        <f t="shared" si="40"/>
        <v>6.9092294155444045E-6</v>
      </c>
      <c r="H1287" s="331">
        <v>518985</v>
      </c>
      <c r="I1287" s="331">
        <v>0</v>
      </c>
      <c r="J1287" s="331">
        <f t="shared" si="41"/>
        <v>518985</v>
      </c>
      <c r="K1287" s="199">
        <v>2.31</v>
      </c>
      <c r="L1287" s="199">
        <v>2.23</v>
      </c>
    </row>
    <row r="1288" spans="1:12" ht="15" customHeight="1" x14ac:dyDescent="0.25">
      <c r="A1288" s="49">
        <v>2006</v>
      </c>
      <c r="B1288" s="330" t="s">
        <v>37</v>
      </c>
      <c r="C1288" s="331">
        <v>159157625871</v>
      </c>
      <c r="D1288" s="331">
        <v>41420356442</v>
      </c>
      <c r="E1288" s="331">
        <v>1088342604</v>
      </c>
      <c r="F1288" s="331">
        <v>1049618</v>
      </c>
      <c r="G1288" s="332">
        <f t="shared" si="40"/>
        <v>6.5948332306158772E-6</v>
      </c>
      <c r="H1288" s="331">
        <v>499580</v>
      </c>
      <c r="I1288" s="331">
        <v>0</v>
      </c>
      <c r="J1288" s="331">
        <f t="shared" si="41"/>
        <v>499580</v>
      </c>
      <c r="K1288" s="199">
        <v>2.63</v>
      </c>
      <c r="L1288" s="199">
        <v>2.23</v>
      </c>
    </row>
    <row r="1289" spans="1:12" ht="15" customHeight="1" x14ac:dyDescent="0.25">
      <c r="A1289" s="49">
        <v>2007</v>
      </c>
      <c r="B1289" s="330" t="s">
        <v>37</v>
      </c>
      <c r="C1289" s="331">
        <v>164379207917</v>
      </c>
      <c r="D1289" s="331">
        <v>41853329118</v>
      </c>
      <c r="E1289" s="331">
        <v>1052252443</v>
      </c>
      <c r="F1289" s="331">
        <v>1104175</v>
      </c>
      <c r="G1289" s="332">
        <f t="shared" si="40"/>
        <v>6.7172424906532653E-6</v>
      </c>
      <c r="H1289" s="331">
        <v>444530</v>
      </c>
      <c r="I1289" s="331">
        <v>0</v>
      </c>
      <c r="J1289" s="331">
        <f t="shared" si="41"/>
        <v>444530</v>
      </c>
      <c r="K1289" s="199">
        <v>2.5099999999999998</v>
      </c>
      <c r="L1289" s="199">
        <v>2.23</v>
      </c>
    </row>
    <row r="1290" spans="1:12" ht="15" customHeight="1" x14ac:dyDescent="0.25">
      <c r="A1290" s="49">
        <v>2008</v>
      </c>
      <c r="B1290" s="330" t="s">
        <v>37</v>
      </c>
      <c r="C1290" s="331">
        <v>164129000808</v>
      </c>
      <c r="D1290" s="331">
        <v>40681230110</v>
      </c>
      <c r="E1290" s="331">
        <v>1040658630</v>
      </c>
      <c r="F1290" s="331">
        <v>1440644</v>
      </c>
      <c r="G1290" s="332">
        <f t="shared" si="40"/>
        <v>8.777510329727054E-6</v>
      </c>
      <c r="H1290" s="331">
        <v>63121</v>
      </c>
      <c r="I1290" s="331">
        <v>0</v>
      </c>
      <c r="J1290" s="331">
        <f t="shared" si="41"/>
        <v>63121</v>
      </c>
      <c r="K1290" s="199">
        <v>2.6</v>
      </c>
      <c r="L1290" s="199">
        <v>2.23</v>
      </c>
    </row>
    <row r="1291" spans="1:12" ht="15" customHeight="1" x14ac:dyDescent="0.25">
      <c r="A1291" s="49">
        <v>2009</v>
      </c>
      <c r="B1291" s="330" t="s">
        <v>37</v>
      </c>
      <c r="C1291" s="331">
        <v>151655418673</v>
      </c>
      <c r="D1291" s="331">
        <v>37415891549</v>
      </c>
      <c r="E1291" s="331">
        <v>1023019010</v>
      </c>
      <c r="F1291" s="331">
        <v>2843202</v>
      </c>
      <c r="G1291" s="332">
        <f t="shared" si="40"/>
        <v>1.8747777197005556E-5</v>
      </c>
      <c r="H1291" s="331">
        <v>35395</v>
      </c>
      <c r="I1291" s="331">
        <v>1727938</v>
      </c>
      <c r="J1291" s="331">
        <f t="shared" si="41"/>
        <v>-1692543</v>
      </c>
      <c r="K1291" s="199">
        <v>2.7</v>
      </c>
      <c r="L1291" s="199">
        <v>1.35</v>
      </c>
    </row>
    <row r="1292" spans="1:12" ht="15" customHeight="1" x14ac:dyDescent="0.25">
      <c r="A1292" s="49">
        <v>2010</v>
      </c>
      <c r="B1292" s="330" t="s">
        <v>37</v>
      </c>
      <c r="C1292" s="331">
        <v>153873713483</v>
      </c>
      <c r="D1292" s="331">
        <v>37249068821</v>
      </c>
      <c r="E1292" s="331">
        <v>1184837152</v>
      </c>
      <c r="F1292" s="331">
        <v>1679210</v>
      </c>
      <c r="G1292" s="332">
        <f t="shared" si="40"/>
        <v>1.0912910087046931E-5</v>
      </c>
      <c r="H1292" s="331">
        <v>104059</v>
      </c>
      <c r="I1292" s="331">
        <v>2314187</v>
      </c>
      <c r="J1292" s="331">
        <f t="shared" si="41"/>
        <v>-2210128</v>
      </c>
      <c r="K1292" s="199">
        <v>3.2</v>
      </c>
      <c r="L1292" s="199">
        <v>1.37</v>
      </c>
    </row>
    <row r="1293" spans="1:12" ht="15" customHeight="1" x14ac:dyDescent="0.25">
      <c r="A1293" s="49">
        <v>2011</v>
      </c>
      <c r="B1293" s="330" t="s">
        <v>37</v>
      </c>
      <c r="C1293" s="331">
        <v>161820775861</v>
      </c>
      <c r="D1293" s="331">
        <v>38567388500</v>
      </c>
      <c r="E1293" s="331">
        <v>1463760140</v>
      </c>
      <c r="F1293" s="331">
        <v>1278336</v>
      </c>
      <c r="G1293" s="332">
        <f t="shared" si="40"/>
        <v>7.8997025764977089E-6</v>
      </c>
      <c r="H1293" s="331">
        <v>39981</v>
      </c>
      <c r="I1293" s="331">
        <v>2078387</v>
      </c>
      <c r="J1293" s="331">
        <f t="shared" si="41"/>
        <v>-2038406</v>
      </c>
      <c r="K1293" s="199">
        <v>3.8</v>
      </c>
      <c r="L1293" s="199">
        <v>1.37</v>
      </c>
    </row>
    <row r="1294" spans="1:12" ht="15" customHeight="1" x14ac:dyDescent="0.25">
      <c r="A1294" s="49">
        <v>2012</v>
      </c>
      <c r="B1294" s="330" t="s">
        <v>37</v>
      </c>
      <c r="C1294" s="331">
        <v>170482393529</v>
      </c>
      <c r="D1294" s="331">
        <v>39673435160</v>
      </c>
      <c r="E1294" s="331">
        <v>1370867077</v>
      </c>
      <c r="F1294" s="331">
        <v>1132412</v>
      </c>
      <c r="G1294" s="332">
        <f t="shared" si="40"/>
        <v>6.6423985290150825E-6</v>
      </c>
      <c r="H1294" s="331">
        <v>21477</v>
      </c>
      <c r="I1294" s="331">
        <v>1739094</v>
      </c>
      <c r="J1294" s="331">
        <f t="shared" si="41"/>
        <v>-1717617</v>
      </c>
      <c r="K1294" s="199">
        <v>3.46</v>
      </c>
      <c r="L1294" s="199">
        <v>1.37</v>
      </c>
    </row>
    <row r="1295" spans="1:12" ht="15" customHeight="1" x14ac:dyDescent="0.25">
      <c r="A1295" s="49">
        <v>2013</v>
      </c>
      <c r="B1295" s="330" t="s">
        <v>37</v>
      </c>
      <c r="C1295" s="331">
        <v>174710794857</v>
      </c>
      <c r="D1295" s="331">
        <v>40442739182</v>
      </c>
      <c r="E1295" s="331">
        <v>1128623006</v>
      </c>
      <c r="F1295" s="331">
        <v>1099952</v>
      </c>
      <c r="G1295" s="332">
        <f t="shared" si="40"/>
        <v>6.2958445177947121E-6</v>
      </c>
      <c r="H1295" s="331">
        <v>51016</v>
      </c>
      <c r="I1295" s="331">
        <v>1552346</v>
      </c>
      <c r="J1295" s="331">
        <f t="shared" si="41"/>
        <v>-1501330</v>
      </c>
      <c r="K1295" s="199">
        <v>2.79</v>
      </c>
      <c r="L1295" s="199">
        <v>1.37</v>
      </c>
    </row>
    <row r="1296" spans="1:12" x14ac:dyDescent="0.25">
      <c r="A1296" s="49">
        <v>2014</v>
      </c>
      <c r="B1296" s="330" t="s">
        <v>37</v>
      </c>
      <c r="C1296" s="331">
        <v>183512225595</v>
      </c>
      <c r="D1296" s="331">
        <v>41750460932</v>
      </c>
      <c r="E1296" s="331">
        <v>1133742535</v>
      </c>
      <c r="F1296" s="331">
        <v>943364</v>
      </c>
      <c r="G1296" s="332">
        <f t="shared" si="40"/>
        <v>5.1406057386168117E-6</v>
      </c>
      <c r="H1296" s="331">
        <v>345479</v>
      </c>
      <c r="I1296" s="331">
        <v>1378734</v>
      </c>
      <c r="J1296" s="331">
        <f t="shared" si="41"/>
        <v>-1033255</v>
      </c>
      <c r="K1296" s="333">
        <v>2.7155210019035581</v>
      </c>
      <c r="L1296" s="199">
        <v>1.37</v>
      </c>
    </row>
    <row r="1297" spans="1:12" ht="15" customHeight="1" x14ac:dyDescent="0.25">
      <c r="A1297" s="49">
        <v>2015</v>
      </c>
      <c r="B1297" s="330" t="s">
        <v>37</v>
      </c>
      <c r="C1297" s="334">
        <v>190588346000</v>
      </c>
      <c r="D1297" s="334">
        <v>42818468000</v>
      </c>
      <c r="E1297" s="334">
        <v>1101092000</v>
      </c>
      <c r="F1297" s="331">
        <v>897886</v>
      </c>
      <c r="G1297" s="332">
        <f t="shared" si="40"/>
        <v>4.7111275103882796E-6</v>
      </c>
      <c r="H1297" s="331">
        <v>341272</v>
      </c>
      <c r="I1297" s="331">
        <v>773311</v>
      </c>
      <c r="J1297" s="331">
        <f t="shared" si="41"/>
        <v>-432039</v>
      </c>
      <c r="K1297" s="199">
        <v>2.6</v>
      </c>
      <c r="L1297" s="199">
        <v>1.37</v>
      </c>
    </row>
    <row r="1298" spans="1:12" ht="15" customHeight="1" x14ac:dyDescent="0.25">
      <c r="A1298" s="49">
        <v>1980</v>
      </c>
      <c r="B1298" s="330" t="s">
        <v>38</v>
      </c>
      <c r="C1298" s="331">
        <v>13287244040</v>
      </c>
      <c r="D1298" s="331">
        <v>5703963138</v>
      </c>
      <c r="E1298" s="331">
        <v>61223483</v>
      </c>
      <c r="F1298" s="331">
        <v>63171</v>
      </c>
      <c r="G1298" s="332">
        <f t="shared" si="40"/>
        <v>4.7542590329363737E-6</v>
      </c>
      <c r="H1298" s="331">
        <v>195557</v>
      </c>
      <c r="I1298" s="331">
        <v>0</v>
      </c>
      <c r="J1298" s="331">
        <f t="shared" si="41"/>
        <v>195557</v>
      </c>
      <c r="K1298" s="199">
        <v>1.07</v>
      </c>
      <c r="L1298" s="199">
        <v>1.1599999999999999</v>
      </c>
    </row>
    <row r="1299" spans="1:12" ht="15" customHeight="1" x14ac:dyDescent="0.25">
      <c r="A1299" s="49">
        <v>1981</v>
      </c>
      <c r="B1299" s="330" t="s">
        <v>38</v>
      </c>
      <c r="C1299" s="331">
        <v>15513631582</v>
      </c>
      <c r="D1299" s="331">
        <v>6131856449</v>
      </c>
      <c r="E1299" s="331">
        <v>51216873</v>
      </c>
      <c r="F1299" s="331">
        <v>60229</v>
      </c>
      <c r="G1299" s="332">
        <f t="shared" si="40"/>
        <v>3.8823275956792666E-6</v>
      </c>
      <c r="H1299" s="331">
        <v>212732</v>
      </c>
      <c r="I1299" s="331">
        <v>0</v>
      </c>
      <c r="J1299" s="331">
        <f t="shared" si="41"/>
        <v>212732</v>
      </c>
      <c r="K1299" s="199">
        <v>0.84</v>
      </c>
      <c r="L1299" s="199">
        <v>1.04</v>
      </c>
    </row>
    <row r="1300" spans="1:12" ht="15" customHeight="1" x14ac:dyDescent="0.25">
      <c r="A1300" s="49">
        <v>1982</v>
      </c>
      <c r="B1300" s="330" t="s">
        <v>38</v>
      </c>
      <c r="C1300" s="331">
        <v>17060647401</v>
      </c>
      <c r="D1300" s="331">
        <v>6345948958</v>
      </c>
      <c r="E1300" s="331">
        <v>53927701</v>
      </c>
      <c r="F1300" s="331">
        <v>179978</v>
      </c>
      <c r="G1300" s="332">
        <f t="shared" si="40"/>
        <v>1.0549306586656887E-5</v>
      </c>
      <c r="H1300" s="331">
        <v>108387</v>
      </c>
      <c r="I1300" s="331">
        <v>0</v>
      </c>
      <c r="J1300" s="331">
        <f t="shared" si="41"/>
        <v>108387</v>
      </c>
      <c r="K1300" s="199">
        <v>0.85</v>
      </c>
      <c r="L1300" s="199">
        <v>1.08</v>
      </c>
    </row>
    <row r="1301" spans="1:12" ht="15" customHeight="1" x14ac:dyDescent="0.25">
      <c r="A1301" s="49">
        <v>1983</v>
      </c>
      <c r="B1301" s="330" t="s">
        <v>38</v>
      </c>
      <c r="C1301" s="331">
        <v>15451169429</v>
      </c>
      <c r="D1301" s="331">
        <v>6455777006</v>
      </c>
      <c r="E1301" s="331">
        <v>121480483</v>
      </c>
      <c r="F1301" s="331">
        <v>209202</v>
      </c>
      <c r="G1301" s="332">
        <f t="shared" si="40"/>
        <v>1.3539557698937197E-5</v>
      </c>
      <c r="H1301" s="331">
        <v>30486</v>
      </c>
      <c r="I1301" s="331">
        <v>0</v>
      </c>
      <c r="J1301" s="331">
        <f t="shared" si="41"/>
        <v>30486</v>
      </c>
      <c r="K1301" s="199">
        <v>1.88</v>
      </c>
      <c r="L1301" s="199">
        <v>1.22</v>
      </c>
    </row>
    <row r="1302" spans="1:12" ht="15" customHeight="1" x14ac:dyDescent="0.25">
      <c r="A1302" s="49">
        <v>1984</v>
      </c>
      <c r="B1302" s="330" t="s">
        <v>38</v>
      </c>
      <c r="C1302" s="331">
        <v>16612238590</v>
      </c>
      <c r="D1302" s="331">
        <v>6632600201</v>
      </c>
      <c r="E1302" s="331">
        <v>154669698</v>
      </c>
      <c r="F1302" s="331">
        <v>120282</v>
      </c>
      <c r="G1302" s="332">
        <f t="shared" si="40"/>
        <v>7.2405654029316467E-6</v>
      </c>
      <c r="H1302" s="331">
        <v>82935</v>
      </c>
      <c r="I1302" s="331">
        <v>0</v>
      </c>
      <c r="J1302" s="331">
        <f t="shared" si="41"/>
        <v>82935</v>
      </c>
      <c r="K1302" s="199">
        <v>2.33</v>
      </c>
      <c r="L1302" s="199">
        <v>1.22</v>
      </c>
    </row>
    <row r="1303" spans="1:12" ht="15" customHeight="1" x14ac:dyDescent="0.25">
      <c r="A1303" s="49">
        <v>1985</v>
      </c>
      <c r="B1303" s="330" t="s">
        <v>38</v>
      </c>
      <c r="C1303" s="331">
        <v>16381048559</v>
      </c>
      <c r="D1303" s="331">
        <v>6431822189</v>
      </c>
      <c r="E1303" s="331">
        <v>161315409</v>
      </c>
      <c r="F1303" s="331">
        <v>159300</v>
      </c>
      <c r="G1303" s="332">
        <f t="shared" si="40"/>
        <v>9.7246522056415076E-6</v>
      </c>
      <c r="H1303" s="331">
        <v>105720</v>
      </c>
      <c r="I1303" s="331">
        <v>0</v>
      </c>
      <c r="J1303" s="331">
        <f t="shared" si="41"/>
        <v>105720</v>
      </c>
      <c r="K1303" s="199">
        <v>2.5099999999999998</v>
      </c>
      <c r="L1303" s="199">
        <v>1.22</v>
      </c>
    </row>
    <row r="1304" spans="1:12" ht="15" customHeight="1" x14ac:dyDescent="0.25">
      <c r="A1304" s="49">
        <v>1986</v>
      </c>
      <c r="B1304" s="330" t="s">
        <v>38</v>
      </c>
      <c r="C1304" s="331">
        <v>16207452133</v>
      </c>
      <c r="D1304" s="331">
        <v>7494491691</v>
      </c>
      <c r="E1304" s="331">
        <v>175485976</v>
      </c>
      <c r="F1304" s="331">
        <v>222511</v>
      </c>
      <c r="G1304" s="332">
        <f t="shared" si="40"/>
        <v>1.3728931492380919E-5</v>
      </c>
      <c r="H1304" s="331">
        <v>68583</v>
      </c>
      <c r="I1304" s="331">
        <v>0</v>
      </c>
      <c r="J1304" s="331">
        <f t="shared" si="41"/>
        <v>68583</v>
      </c>
      <c r="K1304" s="199">
        <v>2.34</v>
      </c>
      <c r="L1304" s="199">
        <v>1.32</v>
      </c>
    </row>
    <row r="1305" spans="1:12" ht="15" customHeight="1" x14ac:dyDescent="0.25">
      <c r="A1305" s="49">
        <v>1987</v>
      </c>
      <c r="B1305" s="330" t="s">
        <v>38</v>
      </c>
      <c r="C1305" s="331">
        <v>16070988710</v>
      </c>
      <c r="D1305" s="331">
        <v>7419146675</v>
      </c>
      <c r="E1305" s="331">
        <v>173852535</v>
      </c>
      <c r="F1305" s="331">
        <v>137174</v>
      </c>
      <c r="G1305" s="332">
        <f t="shared" si="40"/>
        <v>8.5355047206675569E-6</v>
      </c>
      <c r="H1305" s="331">
        <v>112446</v>
      </c>
      <c r="I1305" s="331">
        <v>0</v>
      </c>
      <c r="J1305" s="331">
        <f t="shared" si="41"/>
        <v>112446</v>
      </c>
      <c r="K1305" s="199">
        <v>2.34</v>
      </c>
      <c r="L1305" s="199">
        <v>1.32</v>
      </c>
    </row>
    <row r="1306" spans="1:12" ht="15" customHeight="1" x14ac:dyDescent="0.25">
      <c r="A1306" s="49">
        <v>1988</v>
      </c>
      <c r="B1306" s="330" t="s">
        <v>38</v>
      </c>
      <c r="C1306" s="331">
        <v>16948158256</v>
      </c>
      <c r="D1306" s="331">
        <v>7661159065</v>
      </c>
      <c r="E1306" s="331">
        <v>182559337</v>
      </c>
      <c r="F1306" s="331">
        <v>97787</v>
      </c>
      <c r="G1306" s="332">
        <f t="shared" si="40"/>
        <v>5.7697714715037768E-6</v>
      </c>
      <c r="H1306" s="331">
        <v>214446</v>
      </c>
      <c r="I1306" s="331">
        <v>0</v>
      </c>
      <c r="J1306" s="331">
        <f t="shared" si="41"/>
        <v>214446</v>
      </c>
      <c r="K1306" s="199">
        <v>2.38</v>
      </c>
      <c r="L1306" s="199">
        <v>1.32</v>
      </c>
    </row>
    <row r="1307" spans="1:12" ht="15" customHeight="1" x14ac:dyDescent="0.25">
      <c r="A1307" s="49">
        <v>1989</v>
      </c>
      <c r="B1307" s="330" t="s">
        <v>38</v>
      </c>
      <c r="C1307" s="331">
        <v>17587910264</v>
      </c>
      <c r="D1307" s="331">
        <v>7831710707</v>
      </c>
      <c r="E1307" s="331">
        <v>170350119</v>
      </c>
      <c r="F1307" s="331">
        <v>89155</v>
      </c>
      <c r="G1307" s="332">
        <f t="shared" si="40"/>
        <v>5.0691070548891676E-6</v>
      </c>
      <c r="H1307" s="331">
        <v>323306</v>
      </c>
      <c r="I1307" s="331">
        <v>0</v>
      </c>
      <c r="J1307" s="331">
        <f t="shared" si="41"/>
        <v>323306</v>
      </c>
      <c r="K1307" s="199">
        <v>2.1800000000000002</v>
      </c>
      <c r="L1307" s="199">
        <v>1.32</v>
      </c>
    </row>
    <row r="1308" spans="1:12" ht="15" customHeight="1" x14ac:dyDescent="0.25">
      <c r="A1308" s="49">
        <v>1990</v>
      </c>
      <c r="B1308" s="330" t="s">
        <v>38</v>
      </c>
      <c r="C1308" s="331">
        <v>18377766013</v>
      </c>
      <c r="D1308" s="331">
        <v>8208737218</v>
      </c>
      <c r="E1308" s="331">
        <v>142495797</v>
      </c>
      <c r="F1308" s="331">
        <v>100042</v>
      </c>
      <c r="G1308" s="332">
        <f t="shared" si="40"/>
        <v>5.4436431462470815E-6</v>
      </c>
      <c r="H1308" s="331">
        <v>401832</v>
      </c>
      <c r="I1308" s="331">
        <v>0</v>
      </c>
      <c r="J1308" s="331">
        <f t="shared" si="41"/>
        <v>401832</v>
      </c>
      <c r="K1308" s="199">
        <v>1.74</v>
      </c>
      <c r="L1308" s="199">
        <v>1.32</v>
      </c>
    </row>
    <row r="1309" spans="1:12" ht="15" customHeight="1" x14ac:dyDescent="0.25">
      <c r="A1309" s="49">
        <v>1991</v>
      </c>
      <c r="B1309" s="330" t="s">
        <v>38</v>
      </c>
      <c r="C1309" s="331">
        <v>19052515292</v>
      </c>
      <c r="D1309" s="331">
        <v>8421250949</v>
      </c>
      <c r="E1309" s="331">
        <v>102843180</v>
      </c>
      <c r="F1309" s="331">
        <v>123905</v>
      </c>
      <c r="G1309" s="332">
        <f t="shared" si="40"/>
        <v>6.5033407978434599E-6</v>
      </c>
      <c r="H1309" s="331">
        <v>426398</v>
      </c>
      <c r="I1309" s="331">
        <v>0</v>
      </c>
      <c r="J1309" s="331">
        <f t="shared" si="41"/>
        <v>426398</v>
      </c>
      <c r="K1309" s="199">
        <v>1.22</v>
      </c>
      <c r="L1309" s="199">
        <v>1.32</v>
      </c>
    </row>
    <row r="1310" spans="1:12" ht="15" customHeight="1" x14ac:dyDescent="0.25">
      <c r="A1310" s="49">
        <v>1992</v>
      </c>
      <c r="B1310" s="330" t="s">
        <v>38</v>
      </c>
      <c r="C1310" s="331">
        <v>19965898506</v>
      </c>
      <c r="D1310" s="331">
        <v>8885882830</v>
      </c>
      <c r="E1310" s="331">
        <v>92535354</v>
      </c>
      <c r="F1310" s="331">
        <v>138573</v>
      </c>
      <c r="G1310" s="332">
        <f t="shared" si="40"/>
        <v>6.9404840437487497E-6</v>
      </c>
      <c r="H1310" s="331">
        <v>418907</v>
      </c>
      <c r="I1310" s="331">
        <v>0</v>
      </c>
      <c r="J1310" s="331">
        <f t="shared" si="41"/>
        <v>418907</v>
      </c>
      <c r="K1310" s="199">
        <v>1.04</v>
      </c>
      <c r="L1310" s="199">
        <v>1.32</v>
      </c>
    </row>
    <row r="1311" spans="1:12" ht="15" customHeight="1" x14ac:dyDescent="0.25">
      <c r="A1311" s="49">
        <v>1993</v>
      </c>
      <c r="B1311" s="330" t="s">
        <v>38</v>
      </c>
      <c r="C1311" s="331">
        <v>20595073233</v>
      </c>
      <c r="D1311" s="331">
        <v>9332737846</v>
      </c>
      <c r="E1311" s="331">
        <v>102815512</v>
      </c>
      <c r="F1311" s="331">
        <v>113433</v>
      </c>
      <c r="G1311" s="332">
        <f t="shared" si="40"/>
        <v>5.5077735687894261E-6</v>
      </c>
      <c r="H1311" s="331">
        <v>437800</v>
      </c>
      <c r="I1311" s="331">
        <v>0</v>
      </c>
      <c r="J1311" s="331">
        <f t="shared" si="41"/>
        <v>437800</v>
      </c>
      <c r="K1311" s="199">
        <v>1.1000000000000001</v>
      </c>
      <c r="L1311" s="199">
        <v>1.32</v>
      </c>
    </row>
    <row r="1312" spans="1:12" ht="15" customHeight="1" x14ac:dyDescent="0.25">
      <c r="A1312" s="49">
        <v>1994</v>
      </c>
      <c r="B1312" s="330" t="s">
        <v>38</v>
      </c>
      <c r="C1312" s="331">
        <v>21525452848</v>
      </c>
      <c r="D1312" s="331">
        <v>9902896683</v>
      </c>
      <c r="E1312" s="331">
        <v>113220319</v>
      </c>
      <c r="F1312" s="331">
        <v>106079</v>
      </c>
      <c r="G1312" s="332">
        <f t="shared" si="40"/>
        <v>4.9280728609552174E-6</v>
      </c>
      <c r="H1312" s="331">
        <v>474866</v>
      </c>
      <c r="I1312" s="331">
        <v>0</v>
      </c>
      <c r="J1312" s="331">
        <f t="shared" si="41"/>
        <v>474866</v>
      </c>
      <c r="K1312" s="199">
        <v>1.1399999999999999</v>
      </c>
      <c r="L1312" s="199">
        <v>1.32</v>
      </c>
    </row>
    <row r="1313" spans="1:12" ht="15" customHeight="1" x14ac:dyDescent="0.25">
      <c r="A1313" s="49">
        <v>1995</v>
      </c>
      <c r="B1313" s="330" t="s">
        <v>38</v>
      </c>
      <c r="C1313" s="331">
        <v>22497638956</v>
      </c>
      <c r="D1313" s="331">
        <v>10282740124</v>
      </c>
      <c r="E1313" s="331">
        <v>110145809</v>
      </c>
      <c r="F1313" s="331">
        <v>100069</v>
      </c>
      <c r="G1313" s="332">
        <f t="shared" si="40"/>
        <v>4.4479778609529216E-6</v>
      </c>
      <c r="H1313" s="331">
        <v>521683</v>
      </c>
      <c r="I1313" s="331">
        <v>0</v>
      </c>
      <c r="J1313" s="331">
        <f t="shared" si="41"/>
        <v>521683</v>
      </c>
      <c r="K1313" s="199">
        <v>1.07</v>
      </c>
      <c r="L1313" s="199">
        <v>1.26</v>
      </c>
    </row>
    <row r="1314" spans="1:12" ht="15" customHeight="1" x14ac:dyDescent="0.25">
      <c r="A1314" s="49">
        <v>1996</v>
      </c>
      <c r="B1314" s="330" t="s">
        <v>38</v>
      </c>
      <c r="C1314" s="331">
        <v>24051714846</v>
      </c>
      <c r="D1314" s="331">
        <v>10992553480</v>
      </c>
      <c r="E1314" s="331">
        <v>95785491</v>
      </c>
      <c r="F1314" s="331">
        <v>97729</v>
      </c>
      <c r="G1314" s="332">
        <f t="shared" si="40"/>
        <v>4.0632861575877674E-6</v>
      </c>
      <c r="H1314" s="331">
        <v>563895</v>
      </c>
      <c r="I1314" s="331">
        <v>0</v>
      </c>
      <c r="J1314" s="331">
        <f t="shared" si="41"/>
        <v>563895</v>
      </c>
      <c r="K1314" s="199">
        <v>0.87</v>
      </c>
      <c r="L1314" s="199">
        <v>1.26</v>
      </c>
    </row>
    <row r="1315" spans="1:12" ht="15" customHeight="1" x14ac:dyDescent="0.25">
      <c r="A1315" s="49">
        <v>1997</v>
      </c>
      <c r="B1315" s="330" t="s">
        <v>38</v>
      </c>
      <c r="C1315" s="331">
        <v>25882168100</v>
      </c>
      <c r="D1315" s="331">
        <v>11701007118</v>
      </c>
      <c r="E1315" s="331">
        <v>83860334</v>
      </c>
      <c r="F1315" s="331">
        <v>81651</v>
      </c>
      <c r="G1315" s="332">
        <f t="shared" si="40"/>
        <v>3.1547202569942353E-6</v>
      </c>
      <c r="H1315" s="331">
        <v>608942</v>
      </c>
      <c r="I1315" s="331">
        <v>0</v>
      </c>
      <c r="J1315" s="331">
        <f t="shared" si="41"/>
        <v>608942</v>
      </c>
      <c r="K1315" s="199">
        <v>0.72</v>
      </c>
      <c r="L1315" s="199">
        <v>1.26</v>
      </c>
    </row>
    <row r="1316" spans="1:12" ht="15" customHeight="1" x14ac:dyDescent="0.25">
      <c r="A1316" s="49">
        <v>1998</v>
      </c>
      <c r="B1316" s="330" t="s">
        <v>38</v>
      </c>
      <c r="C1316" s="331">
        <v>28069360364</v>
      </c>
      <c r="D1316" s="331">
        <v>12690050723</v>
      </c>
      <c r="E1316" s="331">
        <v>48384033</v>
      </c>
      <c r="F1316" s="331">
        <v>88755</v>
      </c>
      <c r="G1316" s="332">
        <f t="shared" si="40"/>
        <v>3.1619886897683494E-6</v>
      </c>
      <c r="H1316" s="331">
        <v>614059</v>
      </c>
      <c r="I1316" s="331">
        <v>0</v>
      </c>
      <c r="J1316" s="331">
        <f t="shared" si="41"/>
        <v>614059</v>
      </c>
      <c r="K1316" s="199">
        <v>0.38</v>
      </c>
      <c r="L1316" s="199">
        <v>1.26</v>
      </c>
    </row>
    <row r="1317" spans="1:12" ht="15" customHeight="1" x14ac:dyDescent="0.25">
      <c r="A1317" s="49">
        <v>1999</v>
      </c>
      <c r="B1317" s="330" t="s">
        <v>38</v>
      </c>
      <c r="C1317" s="331">
        <v>29108201431</v>
      </c>
      <c r="D1317" s="331">
        <v>13369768098</v>
      </c>
      <c r="E1317" s="331">
        <v>54112833</v>
      </c>
      <c r="F1317" s="331">
        <v>114862</v>
      </c>
      <c r="G1317" s="332">
        <f t="shared" si="40"/>
        <v>3.9460356309638869E-6</v>
      </c>
      <c r="H1317" s="331">
        <v>586078</v>
      </c>
      <c r="I1317" s="331">
        <v>0</v>
      </c>
      <c r="J1317" s="331">
        <f t="shared" si="41"/>
        <v>586078</v>
      </c>
      <c r="K1317" s="199">
        <v>0.4</v>
      </c>
      <c r="L1317" s="199">
        <v>1.26</v>
      </c>
    </row>
    <row r="1318" spans="1:12" ht="15" customHeight="1" x14ac:dyDescent="0.25">
      <c r="A1318" s="49">
        <v>2000</v>
      </c>
      <c r="B1318" s="330" t="s">
        <v>38</v>
      </c>
      <c r="C1318" s="331">
        <v>31053469437</v>
      </c>
      <c r="D1318" s="331">
        <v>12106753712</v>
      </c>
      <c r="E1318" s="331">
        <v>45543976</v>
      </c>
      <c r="F1318" s="331">
        <v>98302</v>
      </c>
      <c r="G1318" s="332">
        <f t="shared" si="40"/>
        <v>3.165572214062298E-6</v>
      </c>
      <c r="H1318" s="331">
        <v>571571</v>
      </c>
      <c r="I1318" s="331">
        <v>0</v>
      </c>
      <c r="J1318" s="331">
        <f t="shared" si="41"/>
        <v>571571</v>
      </c>
      <c r="K1318" s="199">
        <v>0.38</v>
      </c>
      <c r="L1318" s="199">
        <v>1.26</v>
      </c>
    </row>
    <row r="1319" spans="1:12" ht="15" customHeight="1" x14ac:dyDescent="0.25">
      <c r="A1319" s="49">
        <v>2001</v>
      </c>
      <c r="B1319" s="330" t="s">
        <v>38</v>
      </c>
      <c r="C1319" s="331">
        <v>32421387598</v>
      </c>
      <c r="D1319" s="331">
        <v>12479262075</v>
      </c>
      <c r="E1319" s="331">
        <v>54529080</v>
      </c>
      <c r="F1319" s="331">
        <v>169404</v>
      </c>
      <c r="G1319" s="332">
        <f t="shared" si="40"/>
        <v>5.2250693924787516E-6</v>
      </c>
      <c r="H1319" s="331">
        <v>490994</v>
      </c>
      <c r="I1319" s="331">
        <v>0</v>
      </c>
      <c r="J1319" s="331">
        <f t="shared" si="41"/>
        <v>490994</v>
      </c>
      <c r="K1319" s="199">
        <v>0.44</v>
      </c>
      <c r="L1319" s="199">
        <v>1.26</v>
      </c>
    </row>
    <row r="1320" spans="1:12" ht="15" customHeight="1" x14ac:dyDescent="0.25">
      <c r="A1320" s="49">
        <v>2002</v>
      </c>
      <c r="B1320" s="330" t="s">
        <v>38</v>
      </c>
      <c r="C1320" s="331">
        <v>32332813317</v>
      </c>
      <c r="D1320" s="331">
        <v>12553975529</v>
      </c>
      <c r="E1320" s="331">
        <v>98299377</v>
      </c>
      <c r="F1320" s="331">
        <v>244370</v>
      </c>
      <c r="G1320" s="332">
        <f t="shared" si="40"/>
        <v>7.5579566060066524E-6</v>
      </c>
      <c r="H1320" s="331">
        <v>450571</v>
      </c>
      <c r="I1320" s="331">
        <v>0</v>
      </c>
      <c r="J1320" s="331">
        <f t="shared" si="41"/>
        <v>450571</v>
      </c>
      <c r="K1320" s="199">
        <v>0.78</v>
      </c>
      <c r="L1320" s="199">
        <v>1.26</v>
      </c>
    </row>
    <row r="1321" spans="1:12" ht="15" customHeight="1" x14ac:dyDescent="0.25">
      <c r="A1321" s="49">
        <v>2003</v>
      </c>
      <c r="B1321" s="330" t="s">
        <v>38</v>
      </c>
      <c r="C1321" s="331">
        <v>32905800157</v>
      </c>
      <c r="D1321" s="331">
        <v>13263980138</v>
      </c>
      <c r="E1321" s="331">
        <v>159865535</v>
      </c>
      <c r="F1321" s="331">
        <v>271371</v>
      </c>
      <c r="G1321" s="332">
        <f t="shared" si="40"/>
        <v>8.2469047616297423E-6</v>
      </c>
      <c r="H1321" s="331">
        <v>352751</v>
      </c>
      <c r="I1321" s="331">
        <v>0</v>
      </c>
      <c r="J1321" s="331">
        <f t="shared" si="41"/>
        <v>352751</v>
      </c>
      <c r="K1321" s="199">
        <v>1.2</v>
      </c>
      <c r="L1321" s="199">
        <v>1.26</v>
      </c>
    </row>
    <row r="1322" spans="1:12" ht="15" customHeight="1" x14ac:dyDescent="0.25">
      <c r="A1322" s="49">
        <v>2004</v>
      </c>
      <c r="B1322" s="330" t="s">
        <v>38</v>
      </c>
      <c r="C1322" s="331">
        <v>34621435458</v>
      </c>
      <c r="D1322" s="331">
        <v>15654577128</v>
      </c>
      <c r="E1322" s="331">
        <v>284042861</v>
      </c>
      <c r="F1322" s="331">
        <v>195361</v>
      </c>
      <c r="G1322" s="332">
        <f t="shared" si="40"/>
        <v>5.6427758530404263E-6</v>
      </c>
      <c r="H1322" s="331">
        <v>450517</v>
      </c>
      <c r="I1322" s="331">
        <v>0</v>
      </c>
      <c r="J1322" s="331">
        <f t="shared" si="41"/>
        <v>450517</v>
      </c>
      <c r="K1322" s="199">
        <v>1.81</v>
      </c>
      <c r="L1322" s="199">
        <v>1.26</v>
      </c>
    </row>
    <row r="1323" spans="1:12" ht="15" customHeight="1" x14ac:dyDescent="0.25">
      <c r="A1323" s="49">
        <v>2005</v>
      </c>
      <c r="B1323" s="330" t="s">
        <v>38</v>
      </c>
      <c r="C1323" s="331">
        <v>36974417043</v>
      </c>
      <c r="D1323" s="331">
        <v>16031510112</v>
      </c>
      <c r="E1323" s="331">
        <v>283827805</v>
      </c>
      <c r="F1323" s="331">
        <v>147147</v>
      </c>
      <c r="G1323" s="332">
        <f t="shared" si="40"/>
        <v>3.9796976333358549E-6</v>
      </c>
      <c r="H1323" s="331">
        <v>610895</v>
      </c>
      <c r="I1323" s="331">
        <v>0</v>
      </c>
      <c r="J1323" s="331">
        <f t="shared" si="41"/>
        <v>610895</v>
      </c>
      <c r="K1323" s="199">
        <v>1.77</v>
      </c>
      <c r="L1323" s="199">
        <v>1.26</v>
      </c>
    </row>
    <row r="1324" spans="1:12" ht="15" customHeight="1" x14ac:dyDescent="0.25">
      <c r="A1324" s="49">
        <v>2006</v>
      </c>
      <c r="B1324" s="330" t="s">
        <v>38</v>
      </c>
      <c r="C1324" s="331">
        <v>41216354336</v>
      </c>
      <c r="D1324" s="331">
        <v>16698786291</v>
      </c>
      <c r="E1324" s="331">
        <v>238298822</v>
      </c>
      <c r="F1324" s="331">
        <v>133743</v>
      </c>
      <c r="G1324" s="332">
        <f t="shared" si="40"/>
        <v>3.2449012571493631E-6</v>
      </c>
      <c r="H1324" s="331">
        <v>747655</v>
      </c>
      <c r="I1324" s="331">
        <v>0</v>
      </c>
      <c r="J1324" s="331">
        <f t="shared" si="41"/>
        <v>747655</v>
      </c>
      <c r="K1324" s="199">
        <v>1.43</v>
      </c>
      <c r="L1324" s="199">
        <v>1.26</v>
      </c>
    </row>
    <row r="1325" spans="1:12" ht="15" customHeight="1" x14ac:dyDescent="0.25">
      <c r="A1325" s="49">
        <v>2007</v>
      </c>
      <c r="B1325" s="330" t="s">
        <v>38</v>
      </c>
      <c r="C1325" s="331">
        <v>43780634284</v>
      </c>
      <c r="D1325" s="331">
        <v>17009607357</v>
      </c>
      <c r="E1325" s="331">
        <v>192781863</v>
      </c>
      <c r="F1325" s="331">
        <v>148214</v>
      </c>
      <c r="G1325" s="332">
        <f t="shared" si="40"/>
        <v>3.3853780883701368E-6</v>
      </c>
      <c r="H1325" s="331">
        <v>831388</v>
      </c>
      <c r="I1325" s="331">
        <v>0</v>
      </c>
      <c r="J1325" s="331">
        <f t="shared" si="41"/>
        <v>831388</v>
      </c>
      <c r="K1325" s="199">
        <v>1.1299999999999999</v>
      </c>
      <c r="L1325" s="199">
        <v>1.26</v>
      </c>
    </row>
    <row r="1326" spans="1:12" ht="15" customHeight="1" x14ac:dyDescent="0.25">
      <c r="A1326" s="49">
        <v>2008</v>
      </c>
      <c r="B1326" s="330" t="s">
        <v>38</v>
      </c>
      <c r="C1326" s="331">
        <v>46725826827</v>
      </c>
      <c r="D1326" s="331">
        <v>17951921979</v>
      </c>
      <c r="E1326" s="331">
        <v>135310217</v>
      </c>
      <c r="F1326" s="331">
        <v>182301</v>
      </c>
      <c r="G1326" s="332">
        <f t="shared" si="40"/>
        <v>3.9015039942462695E-6</v>
      </c>
      <c r="H1326" s="331">
        <v>824286</v>
      </c>
      <c r="I1326" s="331">
        <v>0</v>
      </c>
      <c r="J1326" s="331">
        <f t="shared" si="41"/>
        <v>824286</v>
      </c>
      <c r="K1326" s="199">
        <v>0.8</v>
      </c>
      <c r="L1326" s="199">
        <v>1.26</v>
      </c>
    </row>
    <row r="1327" spans="1:12" ht="15" customHeight="1" x14ac:dyDescent="0.25">
      <c r="A1327" s="49">
        <v>2009</v>
      </c>
      <c r="B1327" s="330" t="s">
        <v>38</v>
      </c>
      <c r="C1327" s="331">
        <v>44314474333</v>
      </c>
      <c r="D1327" s="331">
        <v>17380072766</v>
      </c>
      <c r="E1327" s="331">
        <v>118405036</v>
      </c>
      <c r="F1327" s="331">
        <v>556965</v>
      </c>
      <c r="G1327" s="332">
        <f t="shared" si="40"/>
        <v>1.2568466813229027E-5</v>
      </c>
      <c r="H1327" s="331">
        <v>488513</v>
      </c>
      <c r="I1327" s="331">
        <v>0</v>
      </c>
      <c r="J1327" s="331">
        <f t="shared" si="41"/>
        <v>488513</v>
      </c>
      <c r="K1327" s="199">
        <v>0.7</v>
      </c>
      <c r="L1327" s="199">
        <v>0.95</v>
      </c>
    </row>
    <row r="1328" spans="1:12" ht="15" customHeight="1" x14ac:dyDescent="0.25">
      <c r="A1328" s="49">
        <v>2010</v>
      </c>
      <c r="B1328" s="330" t="s">
        <v>38</v>
      </c>
      <c r="C1328" s="331">
        <v>45092347339</v>
      </c>
      <c r="D1328" s="331">
        <v>18042521688</v>
      </c>
      <c r="E1328" s="331">
        <v>174577583</v>
      </c>
      <c r="F1328" s="331">
        <v>392684</v>
      </c>
      <c r="G1328" s="332">
        <f t="shared" si="40"/>
        <v>8.7084399720386892E-6</v>
      </c>
      <c r="H1328" s="331">
        <v>269431</v>
      </c>
      <c r="I1328" s="331">
        <v>0</v>
      </c>
      <c r="J1328" s="331">
        <f t="shared" si="41"/>
        <v>269431</v>
      </c>
      <c r="K1328" s="199">
        <v>1</v>
      </c>
      <c r="L1328" s="199">
        <v>0.99</v>
      </c>
    </row>
    <row r="1329" spans="1:12" ht="15" customHeight="1" x14ac:dyDescent="0.25">
      <c r="A1329" s="49">
        <v>2011</v>
      </c>
      <c r="B1329" s="330" t="s">
        <v>38</v>
      </c>
      <c r="C1329" s="331">
        <v>48625702512</v>
      </c>
      <c r="D1329" s="331">
        <v>21751803451</v>
      </c>
      <c r="E1329" s="331">
        <v>464759645</v>
      </c>
      <c r="F1329" s="331">
        <v>273027</v>
      </c>
      <c r="G1329" s="332">
        <f t="shared" si="40"/>
        <v>5.6148700357104676E-6</v>
      </c>
      <c r="H1329" s="331">
        <v>434771</v>
      </c>
      <c r="I1329" s="331">
        <v>0</v>
      </c>
      <c r="J1329" s="331">
        <f t="shared" si="41"/>
        <v>434771</v>
      </c>
      <c r="K1329" s="199">
        <v>2.1</v>
      </c>
      <c r="L1329" s="199">
        <v>0.99</v>
      </c>
    </row>
    <row r="1330" spans="1:12" ht="15" customHeight="1" x14ac:dyDescent="0.25">
      <c r="A1330" s="49">
        <v>2012</v>
      </c>
      <c r="B1330" s="330" t="s">
        <v>38</v>
      </c>
      <c r="C1330" s="331">
        <v>51894367546</v>
      </c>
      <c r="D1330" s="331">
        <v>23115520072</v>
      </c>
      <c r="E1330" s="331">
        <v>573382665</v>
      </c>
      <c r="F1330" s="331">
        <v>252862</v>
      </c>
      <c r="G1330" s="332">
        <f t="shared" si="40"/>
        <v>4.8726289953501998E-6</v>
      </c>
      <c r="H1330" s="331">
        <v>746598</v>
      </c>
      <c r="I1330" s="331">
        <v>0</v>
      </c>
      <c r="J1330" s="331">
        <f t="shared" si="41"/>
        <v>746598</v>
      </c>
      <c r="K1330" s="199">
        <v>2.48</v>
      </c>
      <c r="L1330" s="199">
        <v>0.99</v>
      </c>
    </row>
    <row r="1331" spans="1:12" x14ac:dyDescent="0.25">
      <c r="A1331" s="49">
        <v>2013</v>
      </c>
      <c r="B1331" s="330" t="s">
        <v>38</v>
      </c>
      <c r="C1331" s="331">
        <v>54121413550</v>
      </c>
      <c r="D1331" s="331">
        <v>24582311192</v>
      </c>
      <c r="E1331" s="331">
        <v>546864694</v>
      </c>
      <c r="F1331" s="331">
        <v>246034</v>
      </c>
      <c r="G1331" s="332">
        <f t="shared" si="40"/>
        <v>4.5459640438382453E-6</v>
      </c>
      <c r="H1331" s="331">
        <v>1067524</v>
      </c>
      <c r="I1331" s="331">
        <v>0</v>
      </c>
      <c r="J1331" s="331">
        <f t="shared" si="41"/>
        <v>1067524</v>
      </c>
      <c r="K1331" s="199">
        <v>2.2200000000000002</v>
      </c>
      <c r="L1331" s="199">
        <v>0.99</v>
      </c>
    </row>
    <row r="1332" spans="1:12" ht="15" customHeight="1" x14ac:dyDescent="0.25">
      <c r="A1332" s="49">
        <v>2014</v>
      </c>
      <c r="B1332" s="330" t="s">
        <v>38</v>
      </c>
      <c r="C1332" s="331">
        <v>56846704323</v>
      </c>
      <c r="D1332" s="331">
        <v>24182674107</v>
      </c>
      <c r="E1332" s="331">
        <v>344303745</v>
      </c>
      <c r="F1332" s="331">
        <v>218681</v>
      </c>
      <c r="G1332" s="332">
        <f t="shared" si="40"/>
        <v>3.8468544941051641E-6</v>
      </c>
      <c r="H1332" s="331">
        <v>1230268</v>
      </c>
      <c r="I1332" s="331">
        <v>0</v>
      </c>
      <c r="J1332" s="331">
        <f t="shared" si="41"/>
        <v>1230268</v>
      </c>
      <c r="K1332" s="333">
        <v>1.4237620846916044</v>
      </c>
      <c r="L1332" s="199">
        <v>0.99</v>
      </c>
    </row>
    <row r="1333" spans="1:12" ht="15" customHeight="1" x14ac:dyDescent="0.25">
      <c r="A1333" s="49">
        <v>2015</v>
      </c>
      <c r="B1333" s="330" t="s">
        <v>38</v>
      </c>
      <c r="C1333" s="334">
        <v>57927289000</v>
      </c>
      <c r="D1333" s="334">
        <v>22833995000</v>
      </c>
      <c r="E1333" s="334">
        <v>227201000</v>
      </c>
      <c r="F1333" s="331">
        <v>330259</v>
      </c>
      <c r="G1333" s="332">
        <f t="shared" si="40"/>
        <v>5.7012680154943899E-6</v>
      </c>
      <c r="H1333" s="331">
        <v>1153136</v>
      </c>
      <c r="I1333" s="199">
        <v>0</v>
      </c>
      <c r="J1333" s="331">
        <f t="shared" si="41"/>
        <v>1153136</v>
      </c>
      <c r="K1333" s="199">
        <v>0.9</v>
      </c>
      <c r="L1333" s="199">
        <v>0.98</v>
      </c>
    </row>
    <row r="1334" spans="1:12" ht="15" customHeight="1" x14ac:dyDescent="0.25">
      <c r="A1334" s="49">
        <v>1980</v>
      </c>
      <c r="B1334" s="330" t="s">
        <v>39</v>
      </c>
      <c r="C1334" s="331">
        <v>11365564185</v>
      </c>
      <c r="D1334" s="331">
        <v>6929474575</v>
      </c>
      <c r="E1334" s="331">
        <v>205729823</v>
      </c>
      <c r="F1334" s="331">
        <v>202748</v>
      </c>
      <c r="G1334" s="332">
        <f t="shared" si="40"/>
        <v>1.7838797678656548E-5</v>
      </c>
      <c r="H1334" s="331">
        <v>353796</v>
      </c>
      <c r="I1334" s="331">
        <v>0</v>
      </c>
      <c r="J1334" s="331">
        <f t="shared" si="41"/>
        <v>353796</v>
      </c>
      <c r="K1334" s="199">
        <v>2.97</v>
      </c>
      <c r="L1334" s="199">
        <v>2.1800000000000002</v>
      </c>
    </row>
    <row r="1335" spans="1:12" ht="15" customHeight="1" x14ac:dyDescent="0.25">
      <c r="A1335" s="49">
        <v>1981</v>
      </c>
      <c r="B1335" s="330" t="s">
        <v>39</v>
      </c>
      <c r="C1335" s="331">
        <v>11724762249</v>
      </c>
      <c r="D1335" s="331">
        <v>6843135958</v>
      </c>
      <c r="E1335" s="331">
        <v>201472559</v>
      </c>
      <c r="F1335" s="331">
        <v>242462</v>
      </c>
      <c r="G1335" s="332">
        <f t="shared" si="40"/>
        <v>2.0679481157127897E-5</v>
      </c>
      <c r="H1335" s="331">
        <v>331112</v>
      </c>
      <c r="I1335" s="331">
        <v>0</v>
      </c>
      <c r="J1335" s="331">
        <f t="shared" si="41"/>
        <v>331112</v>
      </c>
      <c r="K1335" s="199">
        <v>2.94</v>
      </c>
      <c r="L1335" s="199">
        <v>2.21</v>
      </c>
    </row>
    <row r="1336" spans="1:12" ht="15" customHeight="1" x14ac:dyDescent="0.25">
      <c r="A1336" s="49">
        <v>1982</v>
      </c>
      <c r="B1336" s="330" t="s">
        <v>39</v>
      </c>
      <c r="C1336" s="331">
        <v>11425098654</v>
      </c>
      <c r="D1336" s="331">
        <v>6795816272</v>
      </c>
      <c r="E1336" s="331">
        <v>194005900</v>
      </c>
      <c r="F1336" s="331">
        <v>335596</v>
      </c>
      <c r="G1336" s="332">
        <f t="shared" si="40"/>
        <v>2.9373575683086614E-5</v>
      </c>
      <c r="H1336" s="331">
        <v>160561</v>
      </c>
      <c r="I1336" s="331">
        <v>0</v>
      </c>
      <c r="J1336" s="331">
        <f t="shared" si="41"/>
        <v>160561</v>
      </c>
      <c r="K1336" s="199">
        <v>2.85</v>
      </c>
      <c r="L1336" s="199">
        <v>2.65</v>
      </c>
    </row>
    <row r="1337" spans="1:12" ht="15" customHeight="1" x14ac:dyDescent="0.25">
      <c r="A1337" s="49">
        <v>1983</v>
      </c>
      <c r="B1337" s="330" t="s">
        <v>39</v>
      </c>
      <c r="C1337" s="331">
        <v>11939400477</v>
      </c>
      <c r="D1337" s="331">
        <v>7299423812</v>
      </c>
      <c r="E1337" s="331">
        <v>225091956</v>
      </c>
      <c r="F1337" s="331">
        <v>246937</v>
      </c>
      <c r="G1337" s="332">
        <f t="shared" si="40"/>
        <v>2.0682529284087437E-5</v>
      </c>
      <c r="H1337" s="331">
        <v>131929</v>
      </c>
      <c r="I1337" s="331">
        <v>0</v>
      </c>
      <c r="J1337" s="331">
        <f t="shared" si="41"/>
        <v>131929</v>
      </c>
      <c r="K1337" s="199">
        <v>3.08</v>
      </c>
      <c r="L1337" s="199">
        <v>2.65</v>
      </c>
    </row>
    <row r="1338" spans="1:12" ht="15" customHeight="1" x14ac:dyDescent="0.25">
      <c r="A1338" s="49">
        <v>1984</v>
      </c>
      <c r="B1338" s="330" t="s">
        <v>39</v>
      </c>
      <c r="C1338" s="331">
        <v>13050348052</v>
      </c>
      <c r="D1338" s="331">
        <v>8136918075</v>
      </c>
      <c r="E1338" s="331">
        <v>253012228</v>
      </c>
      <c r="F1338" s="331">
        <v>195465</v>
      </c>
      <c r="G1338" s="332">
        <f t="shared" si="40"/>
        <v>1.4977761452886651E-5</v>
      </c>
      <c r="H1338" s="331">
        <v>207350</v>
      </c>
      <c r="I1338" s="331">
        <v>0</v>
      </c>
      <c r="J1338" s="331">
        <f t="shared" si="41"/>
        <v>207350</v>
      </c>
      <c r="K1338" s="199">
        <v>3.11</v>
      </c>
      <c r="L1338" s="199">
        <v>2.65</v>
      </c>
    </row>
    <row r="1339" spans="1:12" ht="15" customHeight="1" x14ac:dyDescent="0.25">
      <c r="A1339" s="49">
        <v>1985</v>
      </c>
      <c r="B1339" s="330" t="s">
        <v>39</v>
      </c>
      <c r="C1339" s="331">
        <v>13675070594</v>
      </c>
      <c r="D1339" s="331">
        <v>8412642816</v>
      </c>
      <c r="E1339" s="331">
        <v>262972136</v>
      </c>
      <c r="F1339" s="331">
        <v>238139</v>
      </c>
      <c r="G1339" s="332">
        <f t="shared" si="40"/>
        <v>1.7414096575449094E-5</v>
      </c>
      <c r="H1339" s="331">
        <v>254714</v>
      </c>
      <c r="I1339" s="331">
        <v>0</v>
      </c>
      <c r="J1339" s="331">
        <f t="shared" si="41"/>
        <v>254714</v>
      </c>
      <c r="K1339" s="199">
        <v>3.13</v>
      </c>
      <c r="L1339" s="199">
        <v>2.65</v>
      </c>
    </row>
    <row r="1340" spans="1:12" ht="15" customHeight="1" x14ac:dyDescent="0.25">
      <c r="A1340" s="49">
        <v>1986</v>
      </c>
      <c r="B1340" s="330" t="s">
        <v>39</v>
      </c>
      <c r="C1340" s="331">
        <v>14442178817</v>
      </c>
      <c r="D1340" s="331">
        <v>9089803555</v>
      </c>
      <c r="E1340" s="331">
        <v>282456760</v>
      </c>
      <c r="F1340" s="331">
        <v>304563</v>
      </c>
      <c r="G1340" s="332">
        <f t="shared" si="40"/>
        <v>2.1088438514657951E-5</v>
      </c>
      <c r="H1340" s="331">
        <v>315523</v>
      </c>
      <c r="I1340" s="331">
        <v>0</v>
      </c>
      <c r="J1340" s="331">
        <f t="shared" si="41"/>
        <v>315523</v>
      </c>
      <c r="K1340" s="199">
        <v>3.11</v>
      </c>
      <c r="L1340" s="199">
        <v>2.65</v>
      </c>
    </row>
    <row r="1341" spans="1:12" ht="15" customHeight="1" x14ac:dyDescent="0.25">
      <c r="A1341" s="49">
        <v>1987</v>
      </c>
      <c r="B1341" s="330" t="s">
        <v>39</v>
      </c>
      <c r="C1341" s="331">
        <v>15494701212</v>
      </c>
      <c r="D1341" s="331">
        <v>9501834819</v>
      </c>
      <c r="E1341" s="331">
        <v>295597492</v>
      </c>
      <c r="F1341" s="331">
        <v>206146</v>
      </c>
      <c r="G1341" s="332">
        <f t="shared" si="40"/>
        <v>1.3304290104048506E-5</v>
      </c>
      <c r="H1341" s="331">
        <v>427346</v>
      </c>
      <c r="I1341" s="331">
        <v>0</v>
      </c>
      <c r="J1341" s="331">
        <f t="shared" si="41"/>
        <v>427346</v>
      </c>
      <c r="K1341" s="199">
        <v>3.11</v>
      </c>
      <c r="L1341" s="199">
        <v>2.65</v>
      </c>
    </row>
    <row r="1342" spans="1:12" ht="15" customHeight="1" x14ac:dyDescent="0.25">
      <c r="A1342" s="49">
        <v>1988</v>
      </c>
      <c r="B1342" s="330" t="s">
        <v>39</v>
      </c>
      <c r="C1342" s="331">
        <v>17107496829</v>
      </c>
      <c r="D1342" s="331">
        <v>10205445316</v>
      </c>
      <c r="E1342" s="331">
        <v>317326429</v>
      </c>
      <c r="F1342" s="331">
        <v>183374</v>
      </c>
      <c r="G1342" s="332">
        <f t="shared" si="40"/>
        <v>1.0718926435172627E-5</v>
      </c>
      <c r="H1342" s="331">
        <v>589096</v>
      </c>
      <c r="I1342" s="331">
        <v>0</v>
      </c>
      <c r="J1342" s="331">
        <f t="shared" si="41"/>
        <v>589096</v>
      </c>
      <c r="K1342" s="199">
        <v>3.11</v>
      </c>
      <c r="L1342" s="199">
        <v>2.65</v>
      </c>
    </row>
    <row r="1343" spans="1:12" ht="15" customHeight="1" x14ac:dyDescent="0.25">
      <c r="A1343" s="49">
        <v>1989</v>
      </c>
      <c r="B1343" s="330" t="s">
        <v>39</v>
      </c>
      <c r="C1343" s="331">
        <v>18602441397</v>
      </c>
      <c r="D1343" s="331">
        <v>11331919978</v>
      </c>
      <c r="E1343" s="331">
        <v>351775305</v>
      </c>
      <c r="F1343" s="331">
        <v>192843</v>
      </c>
      <c r="G1343" s="332">
        <f t="shared" si="40"/>
        <v>1.0366542535169585E-5</v>
      </c>
      <c r="H1343" s="331">
        <v>803653</v>
      </c>
      <c r="I1343" s="331">
        <v>0</v>
      </c>
      <c r="J1343" s="331">
        <f t="shared" si="41"/>
        <v>803653</v>
      </c>
      <c r="K1343" s="199">
        <v>3.1</v>
      </c>
      <c r="L1343" s="199">
        <v>2.65</v>
      </c>
    </row>
    <row r="1344" spans="1:12" ht="15" customHeight="1" x14ac:dyDescent="0.25">
      <c r="A1344" s="49">
        <v>1990</v>
      </c>
      <c r="B1344" s="330" t="s">
        <v>39</v>
      </c>
      <c r="C1344" s="331">
        <v>20237683634</v>
      </c>
      <c r="D1344" s="331">
        <v>12524510093</v>
      </c>
      <c r="E1344" s="331">
        <v>347788612</v>
      </c>
      <c r="F1344" s="331">
        <v>240119</v>
      </c>
      <c r="G1344" s="332">
        <f t="shared" si="40"/>
        <v>1.1864944839664944E-5</v>
      </c>
      <c r="H1344" s="331">
        <v>991729</v>
      </c>
      <c r="I1344" s="331">
        <v>0</v>
      </c>
      <c r="J1344" s="331">
        <f t="shared" si="41"/>
        <v>991729</v>
      </c>
      <c r="K1344" s="199">
        <v>2.78</v>
      </c>
      <c r="L1344" s="199">
        <v>2.65</v>
      </c>
    </row>
    <row r="1345" spans="1:12" ht="15" customHeight="1" x14ac:dyDescent="0.25">
      <c r="A1345" s="49">
        <v>1991</v>
      </c>
      <c r="B1345" s="330" t="s">
        <v>39</v>
      </c>
      <c r="C1345" s="331">
        <v>20976848243</v>
      </c>
      <c r="D1345" s="331">
        <v>12716439448</v>
      </c>
      <c r="E1345" s="331">
        <v>333153790</v>
      </c>
      <c r="F1345" s="331">
        <v>346176</v>
      </c>
      <c r="G1345" s="332">
        <f t="shared" si="40"/>
        <v>1.6502765143258325E-5</v>
      </c>
      <c r="H1345" s="331">
        <v>1043810</v>
      </c>
      <c r="I1345" s="331">
        <v>0</v>
      </c>
      <c r="J1345" s="331">
        <f t="shared" si="41"/>
        <v>1043810</v>
      </c>
      <c r="K1345" s="199">
        <v>2.62</v>
      </c>
      <c r="L1345" s="199">
        <v>2.65</v>
      </c>
    </row>
    <row r="1346" spans="1:12" ht="15" customHeight="1" x14ac:dyDescent="0.25">
      <c r="A1346" s="49">
        <v>1992</v>
      </c>
      <c r="B1346" s="330" t="s">
        <v>39</v>
      </c>
      <c r="C1346" s="331">
        <v>22410082423</v>
      </c>
      <c r="D1346" s="331">
        <v>13558399538</v>
      </c>
      <c r="E1346" s="331">
        <v>356450437</v>
      </c>
      <c r="F1346" s="331">
        <v>357339</v>
      </c>
      <c r="G1346" s="332">
        <f t="shared" ref="G1346:G1409" si="42">F1346/C1346</f>
        <v>1.5945456748220369E-5</v>
      </c>
      <c r="H1346" s="331">
        <v>1054524</v>
      </c>
      <c r="I1346" s="331">
        <v>0</v>
      </c>
      <c r="J1346" s="331">
        <f t="shared" ref="J1346:J1409" si="43">H1346-I1346</f>
        <v>1054524</v>
      </c>
      <c r="K1346" s="199">
        <v>2.63</v>
      </c>
      <c r="L1346" s="199">
        <v>2.65</v>
      </c>
    </row>
    <row r="1347" spans="1:12" ht="15" customHeight="1" x14ac:dyDescent="0.25">
      <c r="A1347" s="49">
        <v>1993</v>
      </c>
      <c r="B1347" s="330" t="s">
        <v>39</v>
      </c>
      <c r="C1347" s="331">
        <v>23709738978</v>
      </c>
      <c r="D1347" s="331">
        <v>14598474084</v>
      </c>
      <c r="E1347" s="331">
        <v>383049503</v>
      </c>
      <c r="F1347" s="331">
        <v>327914</v>
      </c>
      <c r="G1347" s="332">
        <f t="shared" si="42"/>
        <v>1.3830350486113225E-5</v>
      </c>
      <c r="H1347" s="331">
        <v>1096695</v>
      </c>
      <c r="I1347" s="331">
        <v>0</v>
      </c>
      <c r="J1347" s="331">
        <f t="shared" si="43"/>
        <v>1096695</v>
      </c>
      <c r="K1347" s="199">
        <v>2.62</v>
      </c>
      <c r="L1347" s="199">
        <v>2.65</v>
      </c>
    </row>
    <row r="1348" spans="1:12" ht="15" customHeight="1" x14ac:dyDescent="0.25">
      <c r="A1348" s="49">
        <v>1994</v>
      </c>
      <c r="B1348" s="330" t="s">
        <v>39</v>
      </c>
      <c r="C1348" s="331">
        <v>25758773803</v>
      </c>
      <c r="D1348" s="331">
        <v>16074831100</v>
      </c>
      <c r="E1348" s="331">
        <v>248009885</v>
      </c>
      <c r="F1348" s="331">
        <v>329812</v>
      </c>
      <c r="G1348" s="332">
        <f t="shared" si="42"/>
        <v>1.2803870344231541E-5</v>
      </c>
      <c r="H1348" s="331">
        <v>994533</v>
      </c>
      <c r="I1348" s="331">
        <v>0</v>
      </c>
      <c r="J1348" s="331">
        <f t="shared" si="43"/>
        <v>994533</v>
      </c>
      <c r="K1348" s="199">
        <v>1.54</v>
      </c>
      <c r="L1348" s="199">
        <v>2.65</v>
      </c>
    </row>
    <row r="1349" spans="1:12" ht="15" customHeight="1" x14ac:dyDescent="0.25">
      <c r="A1349" s="49">
        <v>1995</v>
      </c>
      <c r="B1349" s="330" t="s">
        <v>39</v>
      </c>
      <c r="C1349" s="331">
        <v>28230613718</v>
      </c>
      <c r="D1349" s="331">
        <v>17119338241</v>
      </c>
      <c r="E1349" s="331">
        <v>240670302</v>
      </c>
      <c r="F1349" s="331">
        <v>339991</v>
      </c>
      <c r="G1349" s="332">
        <f t="shared" si="42"/>
        <v>1.2043344271443161E-5</v>
      </c>
      <c r="H1349" s="331">
        <v>905985</v>
      </c>
      <c r="I1349" s="331">
        <v>0</v>
      </c>
      <c r="J1349" s="331">
        <f t="shared" si="43"/>
        <v>905985</v>
      </c>
      <c r="K1349" s="199">
        <v>1.41</v>
      </c>
      <c r="L1349" s="199">
        <v>2.52</v>
      </c>
    </row>
    <row r="1350" spans="1:12" ht="15" customHeight="1" x14ac:dyDescent="0.25">
      <c r="A1350" s="49">
        <v>1996</v>
      </c>
      <c r="B1350" s="330" t="s">
        <v>39</v>
      </c>
      <c r="C1350" s="331">
        <v>31036937598</v>
      </c>
      <c r="D1350" s="331">
        <v>18854557099</v>
      </c>
      <c r="E1350" s="331">
        <v>396564452</v>
      </c>
      <c r="F1350" s="331">
        <v>367261</v>
      </c>
      <c r="G1350" s="332">
        <f t="shared" si="42"/>
        <v>1.1833029558420934E-5</v>
      </c>
      <c r="H1350" s="331">
        <v>941419</v>
      </c>
      <c r="I1350" s="331">
        <v>0</v>
      </c>
      <c r="J1350" s="331">
        <f t="shared" si="43"/>
        <v>941419</v>
      </c>
      <c r="K1350" s="199">
        <v>2.1</v>
      </c>
      <c r="L1350" s="199">
        <v>2.52</v>
      </c>
    </row>
    <row r="1351" spans="1:12" ht="15" customHeight="1" x14ac:dyDescent="0.25">
      <c r="A1351" s="49">
        <v>1997</v>
      </c>
      <c r="B1351" s="330" t="s">
        <v>39</v>
      </c>
      <c r="C1351" s="331">
        <v>34043321397</v>
      </c>
      <c r="D1351" s="331">
        <v>20124570886</v>
      </c>
      <c r="E1351" s="331">
        <v>419949788</v>
      </c>
      <c r="F1351" s="331">
        <v>339106</v>
      </c>
      <c r="G1351" s="332">
        <f t="shared" si="42"/>
        <v>9.9610139693914548E-6</v>
      </c>
      <c r="H1351" s="331">
        <v>1068843</v>
      </c>
      <c r="I1351" s="331">
        <v>0</v>
      </c>
      <c r="J1351" s="331">
        <f t="shared" si="43"/>
        <v>1068843</v>
      </c>
      <c r="K1351" s="199">
        <v>2.09</v>
      </c>
      <c r="L1351" s="199">
        <v>2.52</v>
      </c>
    </row>
    <row r="1352" spans="1:12" ht="15" customHeight="1" x14ac:dyDescent="0.25">
      <c r="A1352" s="49">
        <v>1998</v>
      </c>
      <c r="B1352" s="330" t="s">
        <v>39</v>
      </c>
      <c r="C1352" s="331">
        <v>36107558506</v>
      </c>
      <c r="D1352" s="331">
        <v>21450432003</v>
      </c>
      <c r="E1352" s="331">
        <v>446005034</v>
      </c>
      <c r="F1352" s="331">
        <v>399048</v>
      </c>
      <c r="G1352" s="332">
        <f t="shared" si="42"/>
        <v>1.1051647259221089E-5</v>
      </c>
      <c r="H1352" s="331">
        <v>1216565</v>
      </c>
      <c r="I1352" s="331">
        <v>0</v>
      </c>
      <c r="J1352" s="331">
        <f t="shared" si="43"/>
        <v>1216565</v>
      </c>
      <c r="K1352" s="199">
        <v>2.08</v>
      </c>
      <c r="L1352" s="199">
        <v>2.52</v>
      </c>
    </row>
    <row r="1353" spans="1:12" ht="15" customHeight="1" x14ac:dyDescent="0.25">
      <c r="A1353" s="49">
        <v>1999</v>
      </c>
      <c r="B1353" s="330" t="s">
        <v>39</v>
      </c>
      <c r="C1353" s="331">
        <v>38364643151</v>
      </c>
      <c r="D1353" s="331">
        <v>23317870202</v>
      </c>
      <c r="E1353" s="331">
        <v>483637168</v>
      </c>
      <c r="F1353" s="331">
        <v>402954</v>
      </c>
      <c r="G1353" s="332">
        <f t="shared" si="42"/>
        <v>1.0503264644323865E-5</v>
      </c>
      <c r="H1353" s="331">
        <v>1363909</v>
      </c>
      <c r="I1353" s="331">
        <v>0</v>
      </c>
      <c r="J1353" s="331">
        <f t="shared" si="43"/>
        <v>1363909</v>
      </c>
      <c r="K1353" s="199">
        <v>2.0699999999999998</v>
      </c>
      <c r="L1353" s="199">
        <v>2.52</v>
      </c>
    </row>
    <row r="1354" spans="1:12" ht="15" customHeight="1" x14ac:dyDescent="0.25">
      <c r="A1354" s="49">
        <v>2000</v>
      </c>
      <c r="B1354" s="330" t="s">
        <v>39</v>
      </c>
      <c r="C1354" s="331">
        <v>41685117073</v>
      </c>
      <c r="D1354" s="331">
        <v>24353564629</v>
      </c>
      <c r="E1354" s="331">
        <v>505497855</v>
      </c>
      <c r="F1354" s="331">
        <v>405748</v>
      </c>
      <c r="G1354" s="332">
        <f t="shared" si="42"/>
        <v>9.7336418484670231E-6</v>
      </c>
      <c r="H1354" s="331">
        <v>1558005</v>
      </c>
      <c r="I1354" s="331">
        <v>0</v>
      </c>
      <c r="J1354" s="331">
        <f t="shared" si="43"/>
        <v>1558005</v>
      </c>
      <c r="K1354" s="199">
        <v>2.08</v>
      </c>
      <c r="L1354" s="199">
        <v>2.52</v>
      </c>
    </row>
    <row r="1355" spans="1:12" ht="15" customHeight="1" x14ac:dyDescent="0.25">
      <c r="A1355" s="49">
        <v>2001</v>
      </c>
      <c r="B1355" s="330" t="s">
        <v>39</v>
      </c>
      <c r="C1355" s="331">
        <v>41224769102</v>
      </c>
      <c r="D1355" s="331">
        <v>25156208135</v>
      </c>
      <c r="E1355" s="331">
        <v>436700764</v>
      </c>
      <c r="F1355" s="331">
        <v>649716</v>
      </c>
      <c r="G1355" s="332">
        <f t="shared" si="42"/>
        <v>1.5760330843635441E-5</v>
      </c>
      <c r="H1355" s="331">
        <v>1467693</v>
      </c>
      <c r="I1355" s="331">
        <v>0</v>
      </c>
      <c r="J1355" s="331">
        <f t="shared" si="43"/>
        <v>1467693</v>
      </c>
      <c r="K1355" s="199">
        <v>1.74</v>
      </c>
      <c r="L1355" s="199">
        <v>2.52</v>
      </c>
    </row>
    <row r="1356" spans="1:12" ht="15" customHeight="1" x14ac:dyDescent="0.25">
      <c r="A1356" s="49">
        <v>2002</v>
      </c>
      <c r="B1356" s="330" t="s">
        <v>39</v>
      </c>
      <c r="C1356" s="331">
        <v>40541832593</v>
      </c>
      <c r="D1356" s="331">
        <v>24642393321</v>
      </c>
      <c r="E1356" s="331">
        <v>464747694</v>
      </c>
      <c r="F1356" s="331">
        <v>826040</v>
      </c>
      <c r="G1356" s="332">
        <f t="shared" si="42"/>
        <v>2.0375003969174917E-5</v>
      </c>
      <c r="H1356" s="331">
        <v>1282561</v>
      </c>
      <c r="I1356" s="331">
        <v>0</v>
      </c>
      <c r="J1356" s="331">
        <f t="shared" si="43"/>
        <v>1282561</v>
      </c>
      <c r="K1356" s="199">
        <v>1.89</v>
      </c>
      <c r="L1356" s="199">
        <v>2.52</v>
      </c>
    </row>
    <row r="1357" spans="1:12" ht="15" customHeight="1" x14ac:dyDescent="0.25">
      <c r="A1357" s="49">
        <v>2003</v>
      </c>
      <c r="B1357" s="330" t="s">
        <v>39</v>
      </c>
      <c r="C1357" s="331">
        <v>41128695953</v>
      </c>
      <c r="D1357" s="331">
        <v>25046642332</v>
      </c>
      <c r="E1357" s="331">
        <v>562953745</v>
      </c>
      <c r="F1357" s="331">
        <v>795662</v>
      </c>
      <c r="G1357" s="332">
        <f t="shared" si="42"/>
        <v>1.9345665637180576E-5</v>
      </c>
      <c r="H1357" s="331">
        <v>1017200</v>
      </c>
      <c r="I1357" s="331">
        <v>0</v>
      </c>
      <c r="J1357" s="331">
        <f t="shared" si="43"/>
        <v>1017200</v>
      </c>
      <c r="K1357" s="199">
        <v>2.25</v>
      </c>
      <c r="L1357" s="199">
        <v>2.52</v>
      </c>
    </row>
    <row r="1358" spans="1:12" ht="15" customHeight="1" x14ac:dyDescent="0.25">
      <c r="A1358" s="49">
        <v>2004</v>
      </c>
      <c r="B1358" s="330" t="s">
        <v>39</v>
      </c>
      <c r="C1358" s="331">
        <v>43572679306</v>
      </c>
      <c r="D1358" s="331">
        <v>26439856378</v>
      </c>
      <c r="E1358" s="331">
        <v>731198269</v>
      </c>
      <c r="F1358" s="331">
        <v>601183</v>
      </c>
      <c r="G1358" s="332">
        <f t="shared" si="42"/>
        <v>1.3797246567695379E-5</v>
      </c>
      <c r="H1358" s="331">
        <v>1152199</v>
      </c>
      <c r="I1358" s="331">
        <v>0</v>
      </c>
      <c r="J1358" s="331">
        <f t="shared" si="43"/>
        <v>1152199</v>
      </c>
      <c r="K1358" s="199">
        <v>2.77</v>
      </c>
      <c r="L1358" s="199">
        <v>2.52</v>
      </c>
    </row>
    <row r="1359" spans="1:12" ht="15" customHeight="1" x14ac:dyDescent="0.25">
      <c r="A1359" s="49">
        <v>2005</v>
      </c>
      <c r="B1359" s="330" t="s">
        <v>39</v>
      </c>
      <c r="C1359" s="331">
        <v>46499900258</v>
      </c>
      <c r="D1359" s="331">
        <v>27849747829</v>
      </c>
      <c r="E1359" s="331">
        <v>710190158</v>
      </c>
      <c r="F1359" s="331">
        <v>490273</v>
      </c>
      <c r="G1359" s="332">
        <f t="shared" si="42"/>
        <v>1.0543527992098258E-5</v>
      </c>
      <c r="H1359" s="331">
        <v>1432450</v>
      </c>
      <c r="I1359" s="331">
        <v>0</v>
      </c>
      <c r="J1359" s="331">
        <f t="shared" si="43"/>
        <v>1432450</v>
      </c>
      <c r="K1359" s="199">
        <v>2.5499999999999998</v>
      </c>
      <c r="L1359" s="199">
        <v>2.52</v>
      </c>
    </row>
    <row r="1360" spans="1:12" ht="15" customHeight="1" x14ac:dyDescent="0.25">
      <c r="A1360" s="49">
        <v>2006</v>
      </c>
      <c r="B1360" s="330" t="s">
        <v>39</v>
      </c>
      <c r="C1360" s="331">
        <v>50009459308</v>
      </c>
      <c r="D1360" s="331">
        <v>29843436534</v>
      </c>
      <c r="E1360" s="331">
        <v>674536136</v>
      </c>
      <c r="F1360" s="331">
        <v>434856</v>
      </c>
      <c r="G1360" s="332">
        <f t="shared" si="42"/>
        <v>8.6954749364873893E-6</v>
      </c>
      <c r="H1360" s="331">
        <v>1737203</v>
      </c>
      <c r="I1360" s="331">
        <v>0</v>
      </c>
      <c r="J1360" s="331">
        <f t="shared" si="43"/>
        <v>1737203</v>
      </c>
      <c r="K1360" s="199">
        <v>2.2599999999999998</v>
      </c>
      <c r="L1360" s="199">
        <v>2.52</v>
      </c>
    </row>
    <row r="1361" spans="1:12" ht="15" customHeight="1" x14ac:dyDescent="0.25">
      <c r="A1361" s="49">
        <v>2007</v>
      </c>
      <c r="B1361" s="330" t="s">
        <v>39</v>
      </c>
      <c r="C1361" s="331">
        <v>52733026125</v>
      </c>
      <c r="D1361" s="331">
        <v>31413402866</v>
      </c>
      <c r="E1361" s="331">
        <v>611154834</v>
      </c>
      <c r="F1361" s="331">
        <v>489896</v>
      </c>
      <c r="G1361" s="332">
        <f t="shared" si="42"/>
        <v>9.2901173325182461E-6</v>
      </c>
      <c r="H1361" s="331">
        <v>1933225</v>
      </c>
      <c r="I1361" s="331">
        <v>0</v>
      </c>
      <c r="J1361" s="331">
        <f t="shared" si="43"/>
        <v>1933225</v>
      </c>
      <c r="K1361" s="199">
        <v>1.95</v>
      </c>
      <c r="L1361" s="199">
        <v>2.52</v>
      </c>
    </row>
    <row r="1362" spans="1:12" ht="15" customHeight="1" x14ac:dyDescent="0.25">
      <c r="A1362" s="49">
        <v>2008</v>
      </c>
      <c r="B1362" s="330" t="s">
        <v>39</v>
      </c>
      <c r="C1362" s="331">
        <v>52690198430</v>
      </c>
      <c r="D1362" s="331">
        <v>31764465584</v>
      </c>
      <c r="E1362" s="331">
        <v>536285170</v>
      </c>
      <c r="F1362" s="331">
        <v>784332</v>
      </c>
      <c r="G1362" s="332">
        <f t="shared" si="42"/>
        <v>1.4885728719393627E-5</v>
      </c>
      <c r="H1362" s="331">
        <v>1970663</v>
      </c>
      <c r="I1362" s="331">
        <v>0</v>
      </c>
      <c r="J1362" s="331">
        <f t="shared" si="43"/>
        <v>1970663</v>
      </c>
      <c r="K1362" s="199">
        <v>1.7</v>
      </c>
      <c r="L1362" s="199">
        <v>2.52</v>
      </c>
    </row>
    <row r="1363" spans="1:12" ht="15" customHeight="1" x14ac:dyDescent="0.25">
      <c r="A1363" s="49">
        <v>2009</v>
      </c>
      <c r="B1363" s="330" t="s">
        <v>39</v>
      </c>
      <c r="C1363" s="331">
        <v>48283745044</v>
      </c>
      <c r="D1363" s="331">
        <v>29544920206</v>
      </c>
      <c r="E1363" s="331">
        <v>564077294</v>
      </c>
      <c r="F1363" s="331">
        <v>1538668</v>
      </c>
      <c r="G1363" s="332">
        <f t="shared" si="42"/>
        <v>3.1867204969246754E-5</v>
      </c>
      <c r="H1363" s="331">
        <v>1050277</v>
      </c>
      <c r="I1363" s="331">
        <v>0</v>
      </c>
      <c r="J1363" s="331">
        <f t="shared" si="43"/>
        <v>1050277</v>
      </c>
      <c r="K1363" s="199">
        <v>1.9</v>
      </c>
      <c r="L1363" s="199">
        <v>2.4500000000000002</v>
      </c>
    </row>
    <row r="1364" spans="1:12" ht="15" customHeight="1" x14ac:dyDescent="0.25">
      <c r="A1364" s="49">
        <v>2010</v>
      </c>
      <c r="B1364" s="330" t="s">
        <v>39</v>
      </c>
      <c r="C1364" s="331">
        <v>49005011032</v>
      </c>
      <c r="D1364" s="331">
        <v>29814835384</v>
      </c>
      <c r="E1364" s="331">
        <v>815835313</v>
      </c>
      <c r="F1364" s="331">
        <v>1023257</v>
      </c>
      <c r="G1364" s="332">
        <f t="shared" si="42"/>
        <v>2.0880660537589083E-5</v>
      </c>
      <c r="H1364" s="331">
        <v>910585</v>
      </c>
      <c r="I1364" s="331">
        <v>0</v>
      </c>
      <c r="J1364" s="331">
        <f t="shared" si="43"/>
        <v>910585</v>
      </c>
      <c r="K1364" s="199">
        <v>2.7</v>
      </c>
      <c r="L1364" s="199">
        <v>2.48</v>
      </c>
    </row>
    <row r="1365" spans="1:12" ht="15" customHeight="1" x14ac:dyDescent="0.25">
      <c r="A1365" s="49">
        <v>2011</v>
      </c>
      <c r="B1365" s="330" t="s">
        <v>39</v>
      </c>
      <c r="C1365" s="331">
        <v>51609059928</v>
      </c>
      <c r="D1365" s="331">
        <v>30811287995</v>
      </c>
      <c r="E1365" s="331">
        <v>949567415</v>
      </c>
      <c r="F1365" s="331">
        <v>805982</v>
      </c>
      <c r="G1365" s="332">
        <f t="shared" si="42"/>
        <v>1.5617064157425628E-5</v>
      </c>
      <c r="H1365" s="331">
        <v>1087941</v>
      </c>
      <c r="I1365" s="331">
        <v>0</v>
      </c>
      <c r="J1365" s="331">
        <f t="shared" si="43"/>
        <v>1087941</v>
      </c>
      <c r="K1365" s="199">
        <v>3.1</v>
      </c>
      <c r="L1365" s="199">
        <v>2.48</v>
      </c>
    </row>
    <row r="1366" spans="1:12" x14ac:dyDescent="0.25">
      <c r="A1366" s="49">
        <v>2012</v>
      </c>
      <c r="B1366" s="330" t="s">
        <v>39</v>
      </c>
      <c r="C1366" s="331">
        <v>54319631254</v>
      </c>
      <c r="D1366" s="331">
        <v>32233370146</v>
      </c>
      <c r="E1366" s="331">
        <v>993276523</v>
      </c>
      <c r="F1366" s="331">
        <v>699546</v>
      </c>
      <c r="G1366" s="332">
        <f t="shared" si="42"/>
        <v>1.2878327482174995E-5</v>
      </c>
      <c r="H1366" s="331">
        <v>1392196</v>
      </c>
      <c r="I1366" s="331">
        <v>0</v>
      </c>
      <c r="J1366" s="331">
        <f t="shared" si="43"/>
        <v>1392196</v>
      </c>
      <c r="K1366" s="199">
        <v>3.08</v>
      </c>
      <c r="L1366" s="199">
        <v>2.48</v>
      </c>
    </row>
    <row r="1367" spans="1:12" ht="15" customHeight="1" x14ac:dyDescent="0.25">
      <c r="A1367" s="49">
        <v>2013</v>
      </c>
      <c r="B1367" s="330" t="s">
        <v>39</v>
      </c>
      <c r="C1367" s="331">
        <v>56755699599</v>
      </c>
      <c r="D1367" s="331">
        <v>34063417981</v>
      </c>
      <c r="E1367" s="331">
        <v>1048421852</v>
      </c>
      <c r="F1367" s="331">
        <v>667137</v>
      </c>
      <c r="G1367" s="332">
        <f t="shared" si="42"/>
        <v>1.1754537512770868E-5</v>
      </c>
      <c r="H1367" s="331">
        <v>1832348</v>
      </c>
      <c r="I1367" s="331">
        <v>0</v>
      </c>
      <c r="J1367" s="331">
        <f t="shared" si="43"/>
        <v>1832348</v>
      </c>
      <c r="K1367" s="199">
        <v>3.08</v>
      </c>
      <c r="L1367" s="199">
        <v>2.48</v>
      </c>
    </row>
    <row r="1368" spans="1:12" ht="15" customHeight="1" x14ac:dyDescent="0.25">
      <c r="A1368" s="49">
        <v>2014</v>
      </c>
      <c r="B1368" s="330" t="s">
        <v>39</v>
      </c>
      <c r="C1368" s="331">
        <v>60509342031</v>
      </c>
      <c r="D1368" s="331">
        <v>36146080896</v>
      </c>
      <c r="E1368" s="331">
        <v>996586931</v>
      </c>
      <c r="F1368" s="331">
        <v>559059</v>
      </c>
      <c r="G1368" s="332">
        <f t="shared" si="42"/>
        <v>9.2392179659396097E-6</v>
      </c>
      <c r="H1368" s="331">
        <v>2316257</v>
      </c>
      <c r="I1368" s="331">
        <v>0</v>
      </c>
      <c r="J1368" s="331">
        <f t="shared" si="43"/>
        <v>2316257</v>
      </c>
      <c r="K1368" s="333">
        <v>2.7571092253884828</v>
      </c>
      <c r="L1368" s="199">
        <v>2.48</v>
      </c>
    </row>
    <row r="1369" spans="1:12" ht="15" customHeight="1" x14ac:dyDescent="0.25">
      <c r="A1369" s="49">
        <v>2015</v>
      </c>
      <c r="B1369" s="330" t="s">
        <v>39</v>
      </c>
      <c r="C1369" s="334">
        <v>65238473000</v>
      </c>
      <c r="D1369" s="334">
        <v>38562032000</v>
      </c>
      <c r="E1369" s="334">
        <v>950719000</v>
      </c>
      <c r="F1369" s="331">
        <v>510391</v>
      </c>
      <c r="G1369" s="332">
        <f t="shared" si="42"/>
        <v>7.8234663769644026E-6</v>
      </c>
      <c r="H1369" s="331">
        <v>2843549</v>
      </c>
      <c r="I1369" s="199">
        <v>0</v>
      </c>
      <c r="J1369" s="331">
        <f t="shared" si="43"/>
        <v>2843549</v>
      </c>
      <c r="K1369" s="199">
        <v>2.5</v>
      </c>
      <c r="L1369" s="199">
        <v>2.48</v>
      </c>
    </row>
    <row r="1370" spans="1:12" ht="15" customHeight="1" x14ac:dyDescent="0.25">
      <c r="A1370" s="49">
        <v>1980</v>
      </c>
      <c r="B1370" s="330" t="s">
        <v>40</v>
      </c>
      <c r="C1370" s="331">
        <v>53495337451</v>
      </c>
      <c r="D1370" s="331">
        <v>22437994269</v>
      </c>
      <c r="E1370" s="331">
        <v>742727103</v>
      </c>
      <c r="F1370" s="331">
        <v>1164447</v>
      </c>
      <c r="G1370" s="332">
        <f t="shared" si="42"/>
        <v>2.1767261512586885E-5</v>
      </c>
      <c r="H1370" s="331">
        <v>143901</v>
      </c>
      <c r="I1370" s="331">
        <v>1387265</v>
      </c>
      <c r="J1370" s="331">
        <f t="shared" si="43"/>
        <v>-1243364</v>
      </c>
      <c r="K1370" s="199">
        <v>3.31</v>
      </c>
      <c r="L1370" s="199">
        <v>2.63</v>
      </c>
    </row>
    <row r="1371" spans="1:12" ht="15" customHeight="1" x14ac:dyDescent="0.25">
      <c r="A1371" s="49">
        <v>1981</v>
      </c>
      <c r="B1371" s="330" t="s">
        <v>40</v>
      </c>
      <c r="C1371" s="331">
        <v>57023163072</v>
      </c>
      <c r="D1371" s="331">
        <v>22947472122</v>
      </c>
      <c r="E1371" s="331">
        <v>1012618563</v>
      </c>
      <c r="F1371" s="331">
        <v>1075699</v>
      </c>
      <c r="G1371" s="332">
        <f t="shared" si="42"/>
        <v>1.8864246422840034E-5</v>
      </c>
      <c r="H1371" s="331">
        <v>269734</v>
      </c>
      <c r="I1371" s="331">
        <v>1566328</v>
      </c>
      <c r="J1371" s="331">
        <f t="shared" si="43"/>
        <v>-1296594</v>
      </c>
      <c r="K1371" s="199">
        <v>4.41</v>
      </c>
      <c r="L1371" s="199">
        <v>2.57</v>
      </c>
    </row>
    <row r="1372" spans="1:12" ht="15" customHeight="1" x14ac:dyDescent="0.25">
      <c r="A1372" s="49">
        <v>1982</v>
      </c>
      <c r="B1372" s="330" t="s">
        <v>40</v>
      </c>
      <c r="C1372" s="331">
        <v>57225323990</v>
      </c>
      <c r="D1372" s="331">
        <v>22878370910</v>
      </c>
      <c r="E1372" s="331">
        <v>1048536918</v>
      </c>
      <c r="F1372" s="331">
        <v>1823688</v>
      </c>
      <c r="G1372" s="332">
        <f t="shared" si="42"/>
        <v>3.1868548272766191E-5</v>
      </c>
      <c r="H1372" s="331">
        <v>0</v>
      </c>
      <c r="I1372" s="331">
        <v>2145252</v>
      </c>
      <c r="J1372" s="331">
        <f t="shared" si="43"/>
        <v>-2145252</v>
      </c>
      <c r="K1372" s="199">
        <v>4.58</v>
      </c>
      <c r="L1372" s="199">
        <v>2.93</v>
      </c>
    </row>
    <row r="1373" spans="1:12" ht="15" customHeight="1" x14ac:dyDescent="0.25">
      <c r="A1373" s="49">
        <v>1983</v>
      </c>
      <c r="B1373" s="330" t="s">
        <v>40</v>
      </c>
      <c r="C1373" s="331">
        <v>58455674718</v>
      </c>
      <c r="D1373" s="331">
        <v>23507546530</v>
      </c>
      <c r="E1373" s="331">
        <v>1123050042</v>
      </c>
      <c r="F1373" s="331">
        <v>1594008</v>
      </c>
      <c r="G1373" s="332">
        <f t="shared" si="42"/>
        <v>2.7268661386422491E-5</v>
      </c>
      <c r="H1373" s="331">
        <v>0</v>
      </c>
      <c r="I1373" s="331">
        <v>2617389</v>
      </c>
      <c r="J1373" s="331">
        <f t="shared" si="43"/>
        <v>-2617389</v>
      </c>
      <c r="K1373" s="199">
        <v>4.78</v>
      </c>
      <c r="L1373" s="199">
        <v>3.11</v>
      </c>
    </row>
    <row r="1374" spans="1:12" ht="15" customHeight="1" x14ac:dyDescent="0.25">
      <c r="A1374" s="49">
        <v>1984</v>
      </c>
      <c r="B1374" s="330" t="s">
        <v>40</v>
      </c>
      <c r="C1374" s="331">
        <v>63241121967</v>
      </c>
      <c r="D1374" s="331">
        <v>27012903414</v>
      </c>
      <c r="E1374" s="331">
        <v>1522194223</v>
      </c>
      <c r="F1374" s="331">
        <v>1019598</v>
      </c>
      <c r="G1374" s="332">
        <f t="shared" si="42"/>
        <v>1.6122389487840505E-5</v>
      </c>
      <c r="H1374" s="331">
        <v>0</v>
      </c>
      <c r="I1374" s="331">
        <v>1970851</v>
      </c>
      <c r="J1374" s="331">
        <f t="shared" si="43"/>
        <v>-1970851</v>
      </c>
      <c r="K1374" s="199">
        <v>5.64</v>
      </c>
      <c r="L1374" s="199">
        <v>3.11</v>
      </c>
    </row>
    <row r="1375" spans="1:12" ht="15" customHeight="1" x14ac:dyDescent="0.25">
      <c r="A1375" s="49">
        <v>1985</v>
      </c>
      <c r="B1375" s="330" t="s">
        <v>40</v>
      </c>
      <c r="C1375" s="331">
        <v>66774598868</v>
      </c>
      <c r="D1375" s="331">
        <v>27612597117</v>
      </c>
      <c r="E1375" s="331">
        <v>1513948508</v>
      </c>
      <c r="F1375" s="331">
        <v>1050483</v>
      </c>
      <c r="G1375" s="332">
        <f t="shared" si="42"/>
        <v>1.5731775522554533E-5</v>
      </c>
      <c r="H1375" s="331">
        <v>770</v>
      </c>
      <c r="I1375" s="331">
        <v>1338674</v>
      </c>
      <c r="J1375" s="331">
        <f t="shared" si="43"/>
        <v>-1337904</v>
      </c>
      <c r="K1375" s="199">
        <v>5.48</v>
      </c>
      <c r="L1375" s="199">
        <v>3.11</v>
      </c>
    </row>
    <row r="1376" spans="1:12" ht="15" customHeight="1" x14ac:dyDescent="0.25">
      <c r="A1376" s="49">
        <v>1986</v>
      </c>
      <c r="B1376" s="330" t="s">
        <v>40</v>
      </c>
      <c r="C1376" s="331">
        <v>70446888959</v>
      </c>
      <c r="D1376" s="331">
        <v>28307014507</v>
      </c>
      <c r="E1376" s="331">
        <v>1424222725</v>
      </c>
      <c r="F1376" s="331">
        <v>1056882</v>
      </c>
      <c r="G1376" s="332">
        <f t="shared" si="42"/>
        <v>1.5002536174664917E-5</v>
      </c>
      <c r="H1376" s="331">
        <v>160629</v>
      </c>
      <c r="I1376" s="331">
        <v>893639</v>
      </c>
      <c r="J1376" s="331">
        <f t="shared" si="43"/>
        <v>-733010</v>
      </c>
      <c r="K1376" s="199">
        <v>5.03</v>
      </c>
      <c r="L1376" s="199">
        <v>3.11</v>
      </c>
    </row>
    <row r="1377" spans="1:12" ht="15" customHeight="1" x14ac:dyDescent="0.25">
      <c r="A1377" s="49">
        <v>1987</v>
      </c>
      <c r="B1377" s="330" t="s">
        <v>40</v>
      </c>
      <c r="C1377" s="331">
        <v>75932406314</v>
      </c>
      <c r="D1377" s="331">
        <v>29445303255</v>
      </c>
      <c r="E1377" s="331">
        <v>1328440891</v>
      </c>
      <c r="F1377" s="331">
        <v>860874</v>
      </c>
      <c r="G1377" s="332">
        <f t="shared" si="42"/>
        <v>1.1337372826564522E-5</v>
      </c>
      <c r="H1377" s="331">
        <v>705306</v>
      </c>
      <c r="I1377" s="331">
        <v>587640</v>
      </c>
      <c r="J1377" s="331">
        <f t="shared" si="43"/>
        <v>117666</v>
      </c>
      <c r="K1377" s="199">
        <v>4.51</v>
      </c>
      <c r="L1377" s="199">
        <v>3.11</v>
      </c>
    </row>
    <row r="1378" spans="1:12" ht="15" customHeight="1" x14ac:dyDescent="0.25">
      <c r="A1378" s="49">
        <v>1988</v>
      </c>
      <c r="B1378" s="330" t="s">
        <v>40</v>
      </c>
      <c r="C1378" s="331">
        <v>82315154183</v>
      </c>
      <c r="D1378" s="331">
        <v>30786598567</v>
      </c>
      <c r="E1378" s="331">
        <v>1324607115</v>
      </c>
      <c r="F1378" s="331">
        <v>793731</v>
      </c>
      <c r="G1378" s="332">
        <f t="shared" si="42"/>
        <v>9.6425865671757923E-6</v>
      </c>
      <c r="H1378" s="331">
        <v>1217061</v>
      </c>
      <c r="I1378" s="331">
        <v>0</v>
      </c>
      <c r="J1378" s="331">
        <f t="shared" si="43"/>
        <v>1217061</v>
      </c>
      <c r="K1378" s="199">
        <v>4.3</v>
      </c>
      <c r="L1378" s="199">
        <v>3.11</v>
      </c>
    </row>
    <row r="1379" spans="1:12" ht="15" customHeight="1" x14ac:dyDescent="0.25">
      <c r="A1379" s="49">
        <v>1989</v>
      </c>
      <c r="B1379" s="330" t="s">
        <v>40</v>
      </c>
      <c r="C1379" s="331">
        <v>86831057415</v>
      </c>
      <c r="D1379" s="331">
        <v>31644596043</v>
      </c>
      <c r="E1379" s="331">
        <v>1161227004</v>
      </c>
      <c r="F1379" s="331">
        <v>940413</v>
      </c>
      <c r="G1379" s="332">
        <f t="shared" si="42"/>
        <v>1.0830375996751876E-5</v>
      </c>
      <c r="H1379" s="331">
        <v>1615858</v>
      </c>
      <c r="I1379" s="331">
        <v>0</v>
      </c>
      <c r="J1379" s="331">
        <f t="shared" si="43"/>
        <v>1615858</v>
      </c>
      <c r="K1379" s="199">
        <v>3.67</v>
      </c>
      <c r="L1379" s="199">
        <v>3.11</v>
      </c>
    </row>
    <row r="1380" spans="1:12" ht="15" customHeight="1" x14ac:dyDescent="0.25">
      <c r="A1380" s="49">
        <v>1990</v>
      </c>
      <c r="B1380" s="330" t="s">
        <v>40</v>
      </c>
      <c r="C1380" s="331">
        <v>90947231738</v>
      </c>
      <c r="D1380" s="331">
        <v>31888252877</v>
      </c>
      <c r="E1380" s="331">
        <v>1090893245</v>
      </c>
      <c r="F1380" s="331">
        <v>1166140</v>
      </c>
      <c r="G1380" s="332">
        <f t="shared" si="42"/>
        <v>1.2822160473882328E-5</v>
      </c>
      <c r="H1380" s="331">
        <v>1647622</v>
      </c>
      <c r="I1380" s="331">
        <v>0</v>
      </c>
      <c r="J1380" s="331">
        <f t="shared" si="43"/>
        <v>1647622</v>
      </c>
      <c r="K1380" s="199">
        <v>3.42</v>
      </c>
      <c r="L1380" s="199">
        <v>3.11</v>
      </c>
    </row>
    <row r="1381" spans="1:12" ht="15" customHeight="1" x14ac:dyDescent="0.25">
      <c r="A1381" s="49">
        <v>1991</v>
      </c>
      <c r="B1381" s="330" t="s">
        <v>40</v>
      </c>
      <c r="C1381" s="331">
        <v>91680823492</v>
      </c>
      <c r="D1381" s="331">
        <v>31239643913</v>
      </c>
      <c r="E1381" s="331">
        <v>1063550680</v>
      </c>
      <c r="F1381" s="331">
        <v>1642778</v>
      </c>
      <c r="G1381" s="332">
        <f t="shared" si="42"/>
        <v>1.7918447254603331E-5</v>
      </c>
      <c r="H1381" s="331">
        <v>1155988</v>
      </c>
      <c r="I1381" s="331">
        <v>0</v>
      </c>
      <c r="J1381" s="331">
        <f t="shared" si="43"/>
        <v>1155988</v>
      </c>
      <c r="K1381" s="199">
        <v>3.4</v>
      </c>
      <c r="L1381" s="199">
        <v>3.11</v>
      </c>
    </row>
    <row r="1382" spans="1:12" ht="15" customHeight="1" x14ac:dyDescent="0.25">
      <c r="A1382" s="49">
        <v>1992</v>
      </c>
      <c r="B1382" s="330" t="s">
        <v>40</v>
      </c>
      <c r="C1382" s="331">
        <v>96343394233</v>
      </c>
      <c r="D1382" s="331">
        <v>31280917529</v>
      </c>
      <c r="E1382" s="331">
        <v>1240722629</v>
      </c>
      <c r="F1382" s="331">
        <v>1653941</v>
      </c>
      <c r="G1382" s="332">
        <f t="shared" si="42"/>
        <v>1.7167144807043598E-5</v>
      </c>
      <c r="H1382" s="331">
        <v>807828</v>
      </c>
      <c r="I1382" s="331">
        <v>0</v>
      </c>
      <c r="J1382" s="331">
        <f t="shared" si="43"/>
        <v>807828</v>
      </c>
      <c r="K1382" s="199">
        <v>4.01</v>
      </c>
      <c r="L1382" s="199">
        <v>3.11</v>
      </c>
    </row>
    <row r="1383" spans="1:12" ht="15" customHeight="1" x14ac:dyDescent="0.25">
      <c r="A1383" s="49">
        <v>1993</v>
      </c>
      <c r="B1383" s="330" t="s">
        <v>40</v>
      </c>
      <c r="C1383" s="331">
        <v>98513740862</v>
      </c>
      <c r="D1383" s="331">
        <v>31574642088</v>
      </c>
      <c r="E1383" s="331">
        <v>1671426492</v>
      </c>
      <c r="F1383" s="331">
        <v>1413289</v>
      </c>
      <c r="G1383" s="332">
        <f t="shared" si="42"/>
        <v>1.4346110376417065E-5</v>
      </c>
      <c r="H1383" s="331">
        <v>1105425</v>
      </c>
      <c r="I1383" s="331">
        <v>0</v>
      </c>
      <c r="J1383" s="331">
        <f t="shared" si="43"/>
        <v>1105425</v>
      </c>
      <c r="K1383" s="199">
        <v>5.29</v>
      </c>
      <c r="L1383" s="199">
        <v>3.11</v>
      </c>
    </row>
    <row r="1384" spans="1:12" ht="15" customHeight="1" x14ac:dyDescent="0.25">
      <c r="A1384" s="49">
        <v>1994</v>
      </c>
      <c r="B1384" s="330" t="s">
        <v>40</v>
      </c>
      <c r="C1384" s="331">
        <v>102465938896</v>
      </c>
      <c r="D1384" s="331">
        <v>32328551959</v>
      </c>
      <c r="E1384" s="331">
        <v>1766290434</v>
      </c>
      <c r="F1384" s="331">
        <v>1458081</v>
      </c>
      <c r="G1384" s="332">
        <f t="shared" si="42"/>
        <v>1.4229909135755938E-5</v>
      </c>
      <c r="H1384" s="331">
        <v>1518999</v>
      </c>
      <c r="I1384" s="331">
        <v>0</v>
      </c>
      <c r="J1384" s="331">
        <f t="shared" si="43"/>
        <v>1518999</v>
      </c>
      <c r="K1384" s="199">
        <v>5.46</v>
      </c>
      <c r="L1384" s="199">
        <v>3.11</v>
      </c>
    </row>
    <row r="1385" spans="1:12" ht="15" customHeight="1" x14ac:dyDescent="0.25">
      <c r="A1385" s="49">
        <v>1995</v>
      </c>
      <c r="B1385" s="330" t="s">
        <v>40</v>
      </c>
      <c r="C1385" s="331">
        <v>107598960794</v>
      </c>
      <c r="D1385" s="331">
        <v>32839034039</v>
      </c>
      <c r="E1385" s="331">
        <v>1689088078</v>
      </c>
      <c r="F1385" s="331">
        <v>1475508</v>
      </c>
      <c r="G1385" s="332">
        <f t="shared" si="42"/>
        <v>1.3713032069379225E-5</v>
      </c>
      <c r="H1385" s="331">
        <v>1914777</v>
      </c>
      <c r="I1385" s="331">
        <v>0</v>
      </c>
      <c r="J1385" s="331">
        <f t="shared" si="43"/>
        <v>1914777</v>
      </c>
      <c r="K1385" s="199">
        <v>5.14</v>
      </c>
      <c r="L1385" s="199">
        <v>2.9</v>
      </c>
    </row>
    <row r="1386" spans="1:12" ht="15" customHeight="1" x14ac:dyDescent="0.25">
      <c r="A1386" s="49">
        <v>1996</v>
      </c>
      <c r="B1386" s="330" t="s">
        <v>40</v>
      </c>
      <c r="C1386" s="331">
        <v>113262172504</v>
      </c>
      <c r="D1386" s="331">
        <v>33661322648</v>
      </c>
      <c r="E1386" s="331">
        <v>1433473023</v>
      </c>
      <c r="F1386" s="331">
        <v>1502211</v>
      </c>
      <c r="G1386" s="332">
        <f t="shared" si="42"/>
        <v>1.3263130723957705E-5</v>
      </c>
      <c r="H1386" s="331">
        <v>2031947</v>
      </c>
      <c r="I1386" s="331">
        <v>0</v>
      </c>
      <c r="J1386" s="331">
        <f t="shared" si="43"/>
        <v>2031947</v>
      </c>
      <c r="K1386" s="199">
        <v>4.26</v>
      </c>
      <c r="L1386" s="199">
        <v>2.86</v>
      </c>
    </row>
    <row r="1387" spans="1:12" ht="15" customHeight="1" x14ac:dyDescent="0.25">
      <c r="A1387" s="49">
        <v>1997</v>
      </c>
      <c r="B1387" s="330" t="s">
        <v>40</v>
      </c>
      <c r="C1387" s="331">
        <v>121443203056</v>
      </c>
      <c r="D1387" s="331">
        <v>34860185632</v>
      </c>
      <c r="E1387" s="331">
        <v>1377274123</v>
      </c>
      <c r="F1387" s="331">
        <v>1338234</v>
      </c>
      <c r="G1387" s="332">
        <f t="shared" si="42"/>
        <v>1.1019422794562758E-5</v>
      </c>
      <c r="H1387" s="331">
        <v>2253703</v>
      </c>
      <c r="I1387" s="331">
        <v>0</v>
      </c>
      <c r="J1387" s="331">
        <f t="shared" si="43"/>
        <v>2253703</v>
      </c>
      <c r="K1387" s="199">
        <v>3.95</v>
      </c>
      <c r="L1387" s="199">
        <v>2.86</v>
      </c>
    </row>
    <row r="1388" spans="1:12" ht="15" customHeight="1" x14ac:dyDescent="0.25">
      <c r="A1388" s="49">
        <v>1998</v>
      </c>
      <c r="B1388" s="330" t="s">
        <v>40</v>
      </c>
      <c r="C1388" s="331">
        <v>130461630083</v>
      </c>
      <c r="D1388" s="331">
        <v>36263774441</v>
      </c>
      <c r="E1388" s="331">
        <v>1397058686</v>
      </c>
      <c r="F1388" s="331">
        <v>1316049</v>
      </c>
      <c r="G1388" s="332">
        <f t="shared" si="42"/>
        <v>1.0087632656151288E-5</v>
      </c>
      <c r="H1388" s="331">
        <v>2462478</v>
      </c>
      <c r="I1388" s="331">
        <v>0</v>
      </c>
      <c r="J1388" s="331">
        <f t="shared" si="43"/>
        <v>2462478</v>
      </c>
      <c r="K1388" s="199">
        <v>3.85</v>
      </c>
      <c r="L1388" s="199">
        <v>2.86</v>
      </c>
    </row>
    <row r="1389" spans="1:12" ht="15" customHeight="1" x14ac:dyDescent="0.25">
      <c r="A1389" s="49">
        <v>1999</v>
      </c>
      <c r="B1389" s="330" t="s">
        <v>40</v>
      </c>
      <c r="C1389" s="331">
        <v>138488875217</v>
      </c>
      <c r="D1389" s="331">
        <v>37301502327</v>
      </c>
      <c r="E1389" s="331">
        <v>1396002440</v>
      </c>
      <c r="F1389" s="331">
        <v>1263885</v>
      </c>
      <c r="G1389" s="332">
        <f t="shared" si="42"/>
        <v>9.126256517136141E-6</v>
      </c>
      <c r="H1389" s="331">
        <v>2663297</v>
      </c>
      <c r="I1389" s="331">
        <v>0</v>
      </c>
      <c r="J1389" s="331">
        <f t="shared" si="43"/>
        <v>2663297</v>
      </c>
      <c r="K1389" s="199">
        <v>3.74</v>
      </c>
      <c r="L1389" s="199">
        <v>2.86</v>
      </c>
    </row>
    <row r="1390" spans="1:12" ht="15" customHeight="1" x14ac:dyDescent="0.25">
      <c r="A1390" s="49">
        <v>2000</v>
      </c>
      <c r="B1390" s="330" t="s">
        <v>40</v>
      </c>
      <c r="C1390" s="331">
        <v>147325518246</v>
      </c>
      <c r="D1390" s="331">
        <v>38650328852</v>
      </c>
      <c r="E1390" s="331">
        <v>1419231835</v>
      </c>
      <c r="F1390" s="331">
        <v>1376499</v>
      </c>
      <c r="G1390" s="332">
        <f t="shared" si="42"/>
        <v>9.3432489930329707E-6</v>
      </c>
      <c r="H1390" s="331">
        <v>2865076</v>
      </c>
      <c r="I1390" s="331">
        <v>0</v>
      </c>
      <c r="J1390" s="331">
        <f t="shared" si="43"/>
        <v>2865076</v>
      </c>
      <c r="K1390" s="199">
        <v>3.67</v>
      </c>
      <c r="L1390" s="199">
        <v>2.86</v>
      </c>
    </row>
    <row r="1391" spans="1:12" ht="15" customHeight="1" x14ac:dyDescent="0.25">
      <c r="A1391" s="49">
        <v>2001</v>
      </c>
      <c r="B1391" s="330" t="s">
        <v>40</v>
      </c>
      <c r="C1391" s="331">
        <v>150082390953</v>
      </c>
      <c r="D1391" s="331">
        <v>38379018325</v>
      </c>
      <c r="E1391" s="331">
        <v>1383174243</v>
      </c>
      <c r="F1391" s="331">
        <v>2045299</v>
      </c>
      <c r="G1391" s="332">
        <f t="shared" si="42"/>
        <v>1.3627841261141078E-5</v>
      </c>
      <c r="H1391" s="331">
        <v>2380363</v>
      </c>
      <c r="I1391" s="331">
        <v>0</v>
      </c>
      <c r="J1391" s="331">
        <f t="shared" si="43"/>
        <v>2380363</v>
      </c>
      <c r="K1391" s="199">
        <v>3.6</v>
      </c>
      <c r="L1391" s="199">
        <v>2.75</v>
      </c>
    </row>
    <row r="1392" spans="1:12" ht="15" customHeight="1" x14ac:dyDescent="0.25">
      <c r="A1392" s="49">
        <v>2002</v>
      </c>
      <c r="B1392" s="330" t="s">
        <v>40</v>
      </c>
      <c r="C1392" s="331">
        <v>150511974706</v>
      </c>
      <c r="D1392" s="331">
        <v>37617946696</v>
      </c>
      <c r="E1392" s="331">
        <v>1376552813</v>
      </c>
      <c r="F1392" s="331">
        <v>2535462</v>
      </c>
      <c r="G1392" s="332">
        <f t="shared" si="42"/>
        <v>1.6845583249788607E-5</v>
      </c>
      <c r="H1392" s="331">
        <v>1710128</v>
      </c>
      <c r="I1392" s="331">
        <v>0</v>
      </c>
      <c r="J1392" s="331">
        <f t="shared" si="43"/>
        <v>1710128</v>
      </c>
      <c r="K1392" s="199">
        <v>3.66</v>
      </c>
      <c r="L1392" s="199">
        <v>2.75</v>
      </c>
    </row>
    <row r="1393" spans="1:12" ht="15" customHeight="1" x14ac:dyDescent="0.25">
      <c r="A1393" s="49">
        <v>2003</v>
      </c>
      <c r="B1393" s="330" t="s">
        <v>40</v>
      </c>
      <c r="C1393" s="331">
        <v>153642534656</v>
      </c>
      <c r="D1393" s="331">
        <v>37238308950</v>
      </c>
      <c r="E1393" s="331">
        <v>1482892264</v>
      </c>
      <c r="F1393" s="331">
        <v>2523135</v>
      </c>
      <c r="G1393" s="332">
        <f t="shared" si="42"/>
        <v>1.6422112572206693E-5</v>
      </c>
      <c r="H1393" s="331">
        <v>761931</v>
      </c>
      <c r="I1393" s="331">
        <v>0</v>
      </c>
      <c r="J1393" s="331">
        <f t="shared" si="43"/>
        <v>761931</v>
      </c>
      <c r="K1393" s="199">
        <v>3.98</v>
      </c>
      <c r="L1393" s="199">
        <v>2.75</v>
      </c>
    </row>
    <row r="1394" spans="1:12" ht="15" customHeight="1" x14ac:dyDescent="0.25">
      <c r="A1394" s="49">
        <v>2004</v>
      </c>
      <c r="B1394" s="330" t="s">
        <v>40</v>
      </c>
      <c r="C1394" s="331">
        <v>160704556322</v>
      </c>
      <c r="D1394" s="331">
        <v>37765433851</v>
      </c>
      <c r="E1394" s="331">
        <v>1618715276</v>
      </c>
      <c r="F1394" s="331">
        <v>2132371</v>
      </c>
      <c r="G1394" s="332">
        <f t="shared" si="42"/>
        <v>1.3268889500104885E-5</v>
      </c>
      <c r="H1394" s="331">
        <v>613986</v>
      </c>
      <c r="I1394" s="331">
        <v>0</v>
      </c>
      <c r="J1394" s="331">
        <f t="shared" si="43"/>
        <v>613986</v>
      </c>
      <c r="K1394" s="199">
        <v>4.29</v>
      </c>
      <c r="L1394" s="199">
        <v>2.75</v>
      </c>
    </row>
    <row r="1395" spans="1:12" ht="15" customHeight="1" x14ac:dyDescent="0.25">
      <c r="A1395" s="49">
        <v>2005</v>
      </c>
      <c r="B1395" s="330" t="s">
        <v>40</v>
      </c>
      <c r="C1395" s="331">
        <v>167408882440</v>
      </c>
      <c r="D1395" s="331">
        <v>38288137267</v>
      </c>
      <c r="E1395" s="331">
        <v>2035495642</v>
      </c>
      <c r="F1395" s="331">
        <v>1917176</v>
      </c>
      <c r="G1395" s="332">
        <f t="shared" si="42"/>
        <v>1.1452056617647653E-5</v>
      </c>
      <c r="H1395" s="331">
        <v>980813</v>
      </c>
      <c r="I1395" s="331">
        <v>0</v>
      </c>
      <c r="J1395" s="331">
        <f t="shared" si="43"/>
        <v>980813</v>
      </c>
      <c r="K1395" s="199">
        <v>5.32</v>
      </c>
      <c r="L1395" s="199">
        <v>2.75</v>
      </c>
    </row>
    <row r="1396" spans="1:12" ht="15" customHeight="1" x14ac:dyDescent="0.25">
      <c r="A1396" s="49">
        <v>2006</v>
      </c>
      <c r="B1396" s="330" t="s">
        <v>40</v>
      </c>
      <c r="C1396" s="331">
        <v>176452218885</v>
      </c>
      <c r="D1396" s="331">
        <v>38838199740</v>
      </c>
      <c r="E1396" s="331">
        <v>2093550415</v>
      </c>
      <c r="F1396" s="331">
        <v>1898484</v>
      </c>
      <c r="G1396" s="332">
        <f t="shared" si="42"/>
        <v>1.0759195956823345E-5</v>
      </c>
      <c r="H1396" s="331">
        <v>1383464</v>
      </c>
      <c r="I1396" s="331">
        <v>0</v>
      </c>
      <c r="J1396" s="331">
        <f t="shared" si="43"/>
        <v>1383464</v>
      </c>
      <c r="K1396" s="199">
        <v>5.39</v>
      </c>
      <c r="L1396" s="199">
        <v>2.75</v>
      </c>
    </row>
    <row r="1397" spans="1:12" ht="15" customHeight="1" x14ac:dyDescent="0.25">
      <c r="A1397" s="49">
        <v>2007</v>
      </c>
      <c r="B1397" s="330" t="s">
        <v>40</v>
      </c>
      <c r="C1397" s="331">
        <v>186163720453</v>
      </c>
      <c r="D1397" s="331">
        <v>39551645722</v>
      </c>
      <c r="E1397" s="331">
        <v>1981402782</v>
      </c>
      <c r="F1397" s="331">
        <v>2011014</v>
      </c>
      <c r="G1397" s="332">
        <f t="shared" si="42"/>
        <v>1.080239476900502E-5</v>
      </c>
      <c r="H1397" s="331">
        <v>1545652</v>
      </c>
      <c r="I1397" s="331">
        <v>0</v>
      </c>
      <c r="J1397" s="331">
        <f t="shared" si="43"/>
        <v>1545652</v>
      </c>
      <c r="K1397" s="199">
        <v>5.01</v>
      </c>
      <c r="L1397" s="199">
        <v>2.75</v>
      </c>
    </row>
    <row r="1398" spans="1:12" ht="15" customHeight="1" x14ac:dyDescent="0.25">
      <c r="A1398" s="49">
        <v>2008</v>
      </c>
      <c r="B1398" s="330" t="s">
        <v>40</v>
      </c>
      <c r="C1398" s="331">
        <v>189874275398</v>
      </c>
      <c r="D1398" s="331">
        <v>39345902695</v>
      </c>
      <c r="E1398" s="331">
        <v>1835739527</v>
      </c>
      <c r="F1398" s="331">
        <v>2607430</v>
      </c>
      <c r="G1398" s="332">
        <f t="shared" si="42"/>
        <v>1.3732402636083818E-5</v>
      </c>
      <c r="H1398" s="331">
        <v>981162</v>
      </c>
      <c r="I1398" s="331">
        <v>0</v>
      </c>
      <c r="J1398" s="331">
        <f t="shared" si="43"/>
        <v>981162</v>
      </c>
      <c r="K1398" s="199">
        <v>4.7</v>
      </c>
      <c r="L1398" s="199">
        <v>2.75</v>
      </c>
    </row>
    <row r="1399" spans="1:12" ht="15" customHeight="1" x14ac:dyDescent="0.25">
      <c r="A1399" s="49">
        <v>2009</v>
      </c>
      <c r="B1399" s="330" t="s">
        <v>40</v>
      </c>
      <c r="C1399" s="331">
        <v>181473393421</v>
      </c>
      <c r="D1399" s="331">
        <v>36863799654</v>
      </c>
      <c r="E1399" s="331">
        <v>1708344366</v>
      </c>
      <c r="F1399" s="331">
        <v>4582764</v>
      </c>
      <c r="G1399" s="332">
        <f t="shared" si="42"/>
        <v>2.5253090348999255E-5</v>
      </c>
      <c r="H1399" s="331">
        <v>116777</v>
      </c>
      <c r="I1399" s="331">
        <v>1871458</v>
      </c>
      <c r="J1399" s="331">
        <f t="shared" si="43"/>
        <v>-1754681</v>
      </c>
      <c r="K1399" s="199">
        <v>4.5999999999999996</v>
      </c>
      <c r="L1399" s="199">
        <v>2.0099999999999998</v>
      </c>
    </row>
    <row r="1400" spans="1:12" ht="15" customHeight="1" x14ac:dyDescent="0.25">
      <c r="A1400" s="49">
        <v>2010</v>
      </c>
      <c r="B1400" s="330" t="s">
        <v>40</v>
      </c>
      <c r="C1400" s="331">
        <v>185164304847</v>
      </c>
      <c r="D1400" s="331">
        <v>37286953239</v>
      </c>
      <c r="E1400" s="331">
        <v>2079208340</v>
      </c>
      <c r="F1400" s="331">
        <v>3328541</v>
      </c>
      <c r="G1400" s="332">
        <f t="shared" si="42"/>
        <v>1.7976148279498853E-5</v>
      </c>
      <c r="H1400" s="331">
        <v>94082</v>
      </c>
      <c r="I1400" s="331">
        <v>3008615</v>
      </c>
      <c r="J1400" s="331">
        <f t="shared" si="43"/>
        <v>-2914533</v>
      </c>
      <c r="K1400" s="199">
        <v>5.6</v>
      </c>
      <c r="L1400" s="199">
        <v>2.04</v>
      </c>
    </row>
    <row r="1401" spans="1:12" x14ac:dyDescent="0.25">
      <c r="A1401" s="49">
        <v>2011</v>
      </c>
      <c r="B1401" s="330" t="s">
        <v>40</v>
      </c>
      <c r="C1401" s="331">
        <v>194204602941</v>
      </c>
      <c r="D1401" s="331">
        <v>38440446453</v>
      </c>
      <c r="E1401" s="331">
        <v>2500708081</v>
      </c>
      <c r="F1401" s="331">
        <v>2969090</v>
      </c>
      <c r="G1401" s="332">
        <f t="shared" si="42"/>
        <v>1.5288463584470342E-5</v>
      </c>
      <c r="H1401" s="331">
        <v>40007</v>
      </c>
      <c r="I1401" s="331">
        <v>3234745</v>
      </c>
      <c r="J1401" s="331">
        <f t="shared" si="43"/>
        <v>-3194738</v>
      </c>
      <c r="K1401" s="199">
        <v>6.5</v>
      </c>
      <c r="L1401" s="199">
        <v>2.04</v>
      </c>
    </row>
    <row r="1402" spans="1:12" ht="15" customHeight="1" x14ac:dyDescent="0.25">
      <c r="A1402" s="49">
        <v>2012</v>
      </c>
      <c r="B1402" s="330" t="s">
        <v>40</v>
      </c>
      <c r="C1402" s="331">
        <v>203287649545</v>
      </c>
      <c r="D1402" s="331">
        <v>39027560588</v>
      </c>
      <c r="E1402" s="331">
        <v>2589780467</v>
      </c>
      <c r="F1402" s="331">
        <v>2882034</v>
      </c>
      <c r="G1402" s="332">
        <f t="shared" si="42"/>
        <v>1.4177122941066961E-5</v>
      </c>
      <c r="H1402" s="331">
        <v>164275</v>
      </c>
      <c r="I1402" s="331">
        <v>0</v>
      </c>
      <c r="J1402" s="331">
        <f t="shared" si="43"/>
        <v>164275</v>
      </c>
      <c r="K1402" s="199">
        <v>6.64</v>
      </c>
      <c r="L1402" s="199">
        <v>2.04</v>
      </c>
    </row>
    <row r="1403" spans="1:12" ht="15" customHeight="1" x14ac:dyDescent="0.25">
      <c r="A1403" s="49">
        <v>2013</v>
      </c>
      <c r="B1403" s="330" t="s">
        <v>40</v>
      </c>
      <c r="C1403" s="331">
        <v>206839889425</v>
      </c>
      <c r="D1403" s="331">
        <v>41504289694</v>
      </c>
      <c r="E1403" s="331">
        <v>2751781478</v>
      </c>
      <c r="F1403" s="331">
        <v>2482249</v>
      </c>
      <c r="G1403" s="332">
        <f t="shared" si="42"/>
        <v>1.2000823472205838E-5</v>
      </c>
      <c r="H1403" s="331">
        <v>263121</v>
      </c>
      <c r="I1403" s="331">
        <v>0</v>
      </c>
      <c r="J1403" s="331">
        <f t="shared" si="43"/>
        <v>263121</v>
      </c>
      <c r="K1403" s="199">
        <v>6.63</v>
      </c>
      <c r="L1403" s="199">
        <v>2.04</v>
      </c>
    </row>
    <row r="1404" spans="1:12" ht="15" customHeight="1" x14ac:dyDescent="0.25">
      <c r="A1404" s="49">
        <v>2014</v>
      </c>
      <c r="B1404" s="330" t="s">
        <v>40</v>
      </c>
      <c r="C1404" s="331">
        <v>215990893113</v>
      </c>
      <c r="D1404" s="331">
        <v>43373388398</v>
      </c>
      <c r="E1404" s="331">
        <v>2737039766</v>
      </c>
      <c r="F1404" s="331">
        <v>2115444</v>
      </c>
      <c r="G1404" s="332">
        <f t="shared" si="42"/>
        <v>9.7941351577877071E-6</v>
      </c>
      <c r="H1404" s="331">
        <v>537212</v>
      </c>
      <c r="I1404" s="331">
        <v>0</v>
      </c>
      <c r="J1404" s="331">
        <f t="shared" si="43"/>
        <v>537212</v>
      </c>
      <c r="K1404" s="333">
        <v>6.3104125988141799</v>
      </c>
      <c r="L1404" s="199">
        <v>2.04</v>
      </c>
    </row>
    <row r="1405" spans="1:12" ht="15" customHeight="1" x14ac:dyDescent="0.25">
      <c r="A1405" s="49">
        <v>2015</v>
      </c>
      <c r="B1405" s="330" t="s">
        <v>40</v>
      </c>
      <c r="C1405" s="334">
        <v>225176368000</v>
      </c>
      <c r="D1405" s="334">
        <v>45529541000</v>
      </c>
      <c r="E1405" s="334">
        <v>2926906000</v>
      </c>
      <c r="F1405" s="331">
        <v>1993415</v>
      </c>
      <c r="G1405" s="332">
        <f t="shared" si="42"/>
        <v>8.8526829778158608E-6</v>
      </c>
      <c r="H1405" s="331">
        <v>966815</v>
      </c>
      <c r="I1405" s="199">
        <v>0</v>
      </c>
      <c r="J1405" s="331">
        <f t="shared" si="43"/>
        <v>966815</v>
      </c>
      <c r="K1405" s="199">
        <v>6.1</v>
      </c>
      <c r="L1405" s="199">
        <v>2.04</v>
      </c>
    </row>
    <row r="1406" spans="1:12" ht="15" customHeight="1" x14ac:dyDescent="0.25">
      <c r="A1406" s="49">
        <v>1980</v>
      </c>
      <c r="B1406" s="330" t="s">
        <v>41</v>
      </c>
      <c r="C1406" s="331">
        <v>4141317214</v>
      </c>
      <c r="D1406" s="331">
        <v>4141317214</v>
      </c>
      <c r="E1406" s="331">
        <v>122215689</v>
      </c>
      <c r="F1406" s="331">
        <v>83677</v>
      </c>
      <c r="G1406" s="332">
        <f t="shared" si="42"/>
        <v>2.0205407042262859E-5</v>
      </c>
      <c r="H1406" s="331">
        <v>54387</v>
      </c>
      <c r="I1406" s="331">
        <v>88700</v>
      </c>
      <c r="J1406" s="331">
        <f t="shared" si="43"/>
        <v>-34313</v>
      </c>
      <c r="K1406" s="199">
        <v>2.95</v>
      </c>
      <c r="L1406" s="199" t="e">
        <v>#N/A</v>
      </c>
    </row>
    <row r="1407" spans="1:12" ht="15" customHeight="1" x14ac:dyDescent="0.25">
      <c r="A1407" s="49">
        <v>1981</v>
      </c>
      <c r="B1407" s="330" t="s">
        <v>41</v>
      </c>
      <c r="C1407" s="331">
        <v>4350521939</v>
      </c>
      <c r="D1407" s="331">
        <v>4349923486</v>
      </c>
      <c r="E1407" s="331">
        <v>128265458</v>
      </c>
      <c r="F1407" s="331">
        <v>117171</v>
      </c>
      <c r="G1407" s="332">
        <f t="shared" si="42"/>
        <v>2.6932630530977767E-5</v>
      </c>
      <c r="H1407" s="331">
        <v>57088</v>
      </c>
      <c r="I1407" s="331">
        <v>80838</v>
      </c>
      <c r="J1407" s="331">
        <f t="shared" si="43"/>
        <v>-23750</v>
      </c>
      <c r="K1407" s="199">
        <v>2.95</v>
      </c>
      <c r="L1407" s="199" t="e">
        <v>#N/A</v>
      </c>
    </row>
    <row r="1408" spans="1:12" ht="15" customHeight="1" x14ac:dyDescent="0.25">
      <c r="A1408" s="49">
        <v>1982</v>
      </c>
      <c r="B1408" s="330" t="s">
        <v>41</v>
      </c>
      <c r="C1408" s="331">
        <v>4239565187</v>
      </c>
      <c r="D1408" s="331">
        <v>4239298933</v>
      </c>
      <c r="E1408" s="331">
        <v>125000172</v>
      </c>
      <c r="F1408" s="331">
        <v>135499</v>
      </c>
      <c r="G1408" s="332">
        <f t="shared" si="42"/>
        <v>3.1960588886682919E-5</v>
      </c>
      <c r="H1408" s="331">
        <v>18762</v>
      </c>
      <c r="I1408" s="331">
        <v>65619</v>
      </c>
      <c r="J1408" s="331">
        <f t="shared" si="43"/>
        <v>-46857</v>
      </c>
      <c r="K1408" s="199">
        <v>2.95</v>
      </c>
      <c r="L1408" s="199" t="e">
        <v>#N/A</v>
      </c>
    </row>
    <row r="1409" spans="1:12" ht="15" customHeight="1" x14ac:dyDescent="0.25">
      <c r="A1409" s="49">
        <v>1983</v>
      </c>
      <c r="B1409" s="330" t="s">
        <v>41</v>
      </c>
      <c r="C1409" s="331">
        <v>4487469306</v>
      </c>
      <c r="D1409" s="331">
        <v>4487469306</v>
      </c>
      <c r="E1409" s="331">
        <v>132335771</v>
      </c>
      <c r="F1409" s="331">
        <v>93971</v>
      </c>
      <c r="G1409" s="332">
        <f t="shared" si="42"/>
        <v>2.0940756045808596E-5</v>
      </c>
      <c r="H1409" s="331">
        <v>33932</v>
      </c>
      <c r="I1409" s="331">
        <v>51113</v>
      </c>
      <c r="J1409" s="331">
        <f t="shared" si="43"/>
        <v>-17181</v>
      </c>
      <c r="K1409" s="199">
        <v>2.95</v>
      </c>
      <c r="L1409" s="199" t="e">
        <v>#N/A</v>
      </c>
    </row>
    <row r="1410" spans="1:12" ht="15" customHeight="1" x14ac:dyDescent="0.25">
      <c r="A1410" s="49">
        <v>1984</v>
      </c>
      <c r="B1410" s="330" t="s">
        <v>41</v>
      </c>
      <c r="C1410" s="331">
        <v>4947944043</v>
      </c>
      <c r="D1410" s="331">
        <v>4947944043</v>
      </c>
      <c r="E1410" s="331">
        <v>145877547</v>
      </c>
      <c r="F1410" s="331">
        <v>80514</v>
      </c>
      <c r="G1410" s="332">
        <f t="shared" ref="G1410:G1473" si="44">F1410/C1410</f>
        <v>1.6272213125349606E-5</v>
      </c>
      <c r="H1410" s="331">
        <v>81443</v>
      </c>
      <c r="I1410" s="331">
        <v>35757</v>
      </c>
      <c r="J1410" s="331">
        <f t="shared" ref="J1410:J1473" si="45">H1410-I1410</f>
        <v>45686</v>
      </c>
      <c r="K1410" s="199">
        <v>2.95</v>
      </c>
      <c r="L1410" s="199">
        <v>3.99</v>
      </c>
    </row>
    <row r="1411" spans="1:12" ht="15" customHeight="1" x14ac:dyDescent="0.25">
      <c r="A1411" s="49">
        <v>1985</v>
      </c>
      <c r="B1411" s="330" t="s">
        <v>41</v>
      </c>
      <c r="C1411" s="331">
        <v>5030015328</v>
      </c>
      <c r="D1411" s="331">
        <v>3419153890</v>
      </c>
      <c r="E1411" s="331">
        <v>183009418</v>
      </c>
      <c r="F1411" s="331">
        <v>105132</v>
      </c>
      <c r="G1411" s="332">
        <f t="shared" si="44"/>
        <v>2.0900930344043676E-5</v>
      </c>
      <c r="H1411" s="331">
        <v>134137</v>
      </c>
      <c r="I1411" s="331">
        <v>19216</v>
      </c>
      <c r="J1411" s="331">
        <f t="shared" si="45"/>
        <v>114921</v>
      </c>
      <c r="K1411" s="199">
        <v>5.35</v>
      </c>
      <c r="L1411" s="199">
        <v>3.99</v>
      </c>
    </row>
    <row r="1412" spans="1:12" ht="15" customHeight="1" x14ac:dyDescent="0.25">
      <c r="A1412" s="49">
        <v>1986</v>
      </c>
      <c r="B1412" s="330" t="s">
        <v>41</v>
      </c>
      <c r="C1412" s="331">
        <v>5468938256</v>
      </c>
      <c r="D1412" s="331">
        <v>3214659849</v>
      </c>
      <c r="E1412" s="331">
        <v>171779822</v>
      </c>
      <c r="F1412" s="331">
        <v>97108</v>
      </c>
      <c r="G1412" s="332">
        <f t="shared" si="44"/>
        <v>1.775628018719398E-5</v>
      </c>
      <c r="H1412" s="331">
        <v>190151</v>
      </c>
      <c r="I1412" s="331">
        <v>0</v>
      </c>
      <c r="J1412" s="331">
        <f t="shared" si="45"/>
        <v>190151</v>
      </c>
      <c r="K1412" s="199">
        <v>5.34</v>
      </c>
      <c r="L1412" s="199">
        <v>3.99</v>
      </c>
    </row>
    <row r="1413" spans="1:12" ht="15" customHeight="1" x14ac:dyDescent="0.25">
      <c r="A1413" s="49">
        <v>1987</v>
      </c>
      <c r="B1413" s="330" t="s">
        <v>41</v>
      </c>
      <c r="C1413" s="331">
        <v>5964058907</v>
      </c>
      <c r="D1413" s="331">
        <v>3444758205</v>
      </c>
      <c r="E1413" s="331">
        <v>184166036</v>
      </c>
      <c r="F1413" s="331">
        <v>89350</v>
      </c>
      <c r="G1413" s="332">
        <f t="shared" si="44"/>
        <v>1.4981408029878803E-5</v>
      </c>
      <c r="H1413" s="331">
        <v>294967</v>
      </c>
      <c r="I1413" s="331">
        <v>0</v>
      </c>
      <c r="J1413" s="331">
        <f t="shared" si="45"/>
        <v>294967</v>
      </c>
      <c r="K1413" s="199">
        <v>5.35</v>
      </c>
      <c r="L1413" s="199">
        <v>3.99</v>
      </c>
    </row>
    <row r="1414" spans="1:12" ht="15" customHeight="1" x14ac:dyDescent="0.25">
      <c r="A1414" s="49">
        <v>1988</v>
      </c>
      <c r="B1414" s="330" t="s">
        <v>41</v>
      </c>
      <c r="C1414" s="331">
        <v>6573587944</v>
      </c>
      <c r="D1414" s="331">
        <v>3723838557</v>
      </c>
      <c r="E1414" s="331">
        <v>199178778</v>
      </c>
      <c r="F1414" s="331">
        <v>93403</v>
      </c>
      <c r="G1414" s="332">
        <f t="shared" si="44"/>
        <v>1.4208830975670293E-5</v>
      </c>
      <c r="H1414" s="331">
        <v>430500</v>
      </c>
      <c r="I1414" s="331">
        <v>0</v>
      </c>
      <c r="J1414" s="331">
        <f t="shared" si="45"/>
        <v>430500</v>
      </c>
      <c r="K1414" s="199">
        <v>5.35</v>
      </c>
      <c r="L1414" s="199">
        <v>3.99</v>
      </c>
    </row>
    <row r="1415" spans="1:12" ht="15" customHeight="1" x14ac:dyDescent="0.25">
      <c r="A1415" s="49">
        <v>1989</v>
      </c>
      <c r="B1415" s="330" t="s">
        <v>41</v>
      </c>
      <c r="C1415" s="331">
        <v>7040280873</v>
      </c>
      <c r="D1415" s="331">
        <v>3859082488</v>
      </c>
      <c r="E1415" s="331">
        <v>206476264</v>
      </c>
      <c r="F1415" s="331">
        <v>112678</v>
      </c>
      <c r="G1415" s="332">
        <f t="shared" si="44"/>
        <v>1.6004759189669336E-5</v>
      </c>
      <c r="H1415" s="331">
        <v>563646</v>
      </c>
      <c r="I1415" s="331">
        <v>0</v>
      </c>
      <c r="J1415" s="331">
        <f t="shared" si="45"/>
        <v>563646</v>
      </c>
      <c r="K1415" s="199">
        <v>5.35</v>
      </c>
      <c r="L1415" s="199">
        <v>3.99</v>
      </c>
    </row>
    <row r="1416" spans="1:12" ht="15" customHeight="1" x14ac:dyDescent="0.25">
      <c r="A1416" s="49">
        <v>1990</v>
      </c>
      <c r="B1416" s="330" t="s">
        <v>41</v>
      </c>
      <c r="C1416" s="331">
        <v>7494485325</v>
      </c>
      <c r="D1416" s="331">
        <v>3963645631</v>
      </c>
      <c r="E1416" s="331">
        <v>205704518</v>
      </c>
      <c r="F1416" s="331">
        <v>134451</v>
      </c>
      <c r="G1416" s="332">
        <f t="shared" si="44"/>
        <v>1.7939991096053018E-5</v>
      </c>
      <c r="H1416" s="331">
        <v>674846</v>
      </c>
      <c r="I1416" s="331">
        <v>0</v>
      </c>
      <c r="J1416" s="331">
        <f t="shared" si="45"/>
        <v>674846</v>
      </c>
      <c r="K1416" s="199">
        <v>5.19</v>
      </c>
      <c r="L1416" s="199">
        <v>3.99</v>
      </c>
    </row>
    <row r="1417" spans="1:12" ht="15" customHeight="1" x14ac:dyDescent="0.25">
      <c r="A1417" s="49">
        <v>1991</v>
      </c>
      <c r="B1417" s="330" t="s">
        <v>41</v>
      </c>
      <c r="C1417" s="331">
        <v>7783679911</v>
      </c>
      <c r="D1417" s="331">
        <v>3956934274</v>
      </c>
      <c r="E1417" s="331">
        <v>205074256</v>
      </c>
      <c r="F1417" s="331">
        <v>169999</v>
      </c>
      <c r="G1417" s="332">
        <f t="shared" si="44"/>
        <v>2.1840440761156578E-5</v>
      </c>
      <c r="H1417" s="331">
        <v>750020</v>
      </c>
      <c r="I1417" s="331">
        <v>0</v>
      </c>
      <c r="J1417" s="331">
        <f t="shared" si="45"/>
        <v>750020</v>
      </c>
      <c r="K1417" s="199">
        <v>5.18</v>
      </c>
      <c r="L1417" s="199">
        <v>3.99</v>
      </c>
    </row>
    <row r="1418" spans="1:12" ht="15" customHeight="1" x14ac:dyDescent="0.25">
      <c r="A1418" s="49">
        <v>1992</v>
      </c>
      <c r="B1418" s="330" t="s">
        <v>41</v>
      </c>
      <c r="C1418" s="331">
        <v>8278959925</v>
      </c>
      <c r="D1418" s="331">
        <v>4082458955</v>
      </c>
      <c r="E1418" s="331">
        <v>124854619</v>
      </c>
      <c r="F1418" s="331">
        <v>182906</v>
      </c>
      <c r="G1418" s="332">
        <f t="shared" si="44"/>
        <v>2.209287176855129E-5</v>
      </c>
      <c r="H1418" s="331">
        <v>749255</v>
      </c>
      <c r="I1418" s="331">
        <v>0</v>
      </c>
      <c r="J1418" s="331">
        <f t="shared" si="45"/>
        <v>749255</v>
      </c>
      <c r="K1418" s="199">
        <v>3.06</v>
      </c>
      <c r="L1418" s="199">
        <v>3.99</v>
      </c>
    </row>
    <row r="1419" spans="1:12" ht="15" customHeight="1" x14ac:dyDescent="0.25">
      <c r="A1419" s="49">
        <v>1993</v>
      </c>
      <c r="B1419" s="330" t="s">
        <v>41</v>
      </c>
      <c r="C1419" s="331">
        <v>8708549039</v>
      </c>
      <c r="D1419" s="331">
        <v>4210152554</v>
      </c>
      <c r="E1419" s="331">
        <v>124227166</v>
      </c>
      <c r="F1419" s="331">
        <v>211678</v>
      </c>
      <c r="G1419" s="332">
        <f t="shared" si="44"/>
        <v>2.4306919448007945E-5</v>
      </c>
      <c r="H1419" s="331">
        <v>730873</v>
      </c>
      <c r="I1419" s="331">
        <v>0</v>
      </c>
      <c r="J1419" s="331">
        <f t="shared" si="45"/>
        <v>730873</v>
      </c>
      <c r="K1419" s="199">
        <v>2.95</v>
      </c>
      <c r="L1419" s="199">
        <v>3.99</v>
      </c>
    </row>
    <row r="1420" spans="1:12" ht="15" customHeight="1" x14ac:dyDescent="0.25">
      <c r="A1420" s="49">
        <v>1994</v>
      </c>
      <c r="B1420" s="330" t="s">
        <v>41</v>
      </c>
      <c r="C1420" s="331">
        <v>8914172992</v>
      </c>
      <c r="D1420" s="331">
        <v>4305392982</v>
      </c>
      <c r="E1420" s="331">
        <v>134601088</v>
      </c>
      <c r="F1420" s="331">
        <v>230754</v>
      </c>
      <c r="G1420" s="332">
        <f t="shared" si="44"/>
        <v>2.5886192718841058E-5</v>
      </c>
      <c r="H1420" s="331">
        <v>674663</v>
      </c>
      <c r="I1420" s="331">
        <v>0</v>
      </c>
      <c r="J1420" s="331">
        <f t="shared" si="45"/>
        <v>674663</v>
      </c>
      <c r="K1420" s="199">
        <v>3.13</v>
      </c>
      <c r="L1420" s="199">
        <v>3.99</v>
      </c>
    </row>
    <row r="1421" spans="1:12" ht="15" customHeight="1" x14ac:dyDescent="0.25">
      <c r="A1421" s="49">
        <v>1995</v>
      </c>
      <c r="B1421" s="330" t="s">
        <v>41</v>
      </c>
      <c r="C1421" s="331">
        <v>9452821937</v>
      </c>
      <c r="D1421" s="331">
        <v>4469551170</v>
      </c>
      <c r="E1421" s="331">
        <v>143719827</v>
      </c>
      <c r="F1421" s="331">
        <v>220954</v>
      </c>
      <c r="G1421" s="332">
        <f t="shared" si="44"/>
        <v>2.3374395653762117E-5</v>
      </c>
      <c r="H1421" s="331">
        <v>634291</v>
      </c>
      <c r="I1421" s="331">
        <v>0</v>
      </c>
      <c r="J1421" s="331">
        <f t="shared" si="45"/>
        <v>634291</v>
      </c>
      <c r="K1421" s="199">
        <v>3.22</v>
      </c>
      <c r="L1421" s="199">
        <v>3.66</v>
      </c>
    </row>
    <row r="1422" spans="1:12" ht="15" customHeight="1" x14ac:dyDescent="0.25">
      <c r="A1422" s="49">
        <v>1996</v>
      </c>
      <c r="B1422" s="330" t="s">
        <v>41</v>
      </c>
      <c r="C1422" s="331">
        <v>10160648569</v>
      </c>
      <c r="D1422" s="331">
        <v>4739058942</v>
      </c>
      <c r="E1422" s="331">
        <v>158297813</v>
      </c>
      <c r="F1422" s="331">
        <v>215059</v>
      </c>
      <c r="G1422" s="332">
        <f t="shared" si="44"/>
        <v>2.1165873274678751E-5</v>
      </c>
      <c r="H1422" s="331">
        <v>595703</v>
      </c>
      <c r="I1422" s="331">
        <v>0</v>
      </c>
      <c r="J1422" s="331">
        <f t="shared" si="45"/>
        <v>595703</v>
      </c>
      <c r="K1422" s="199">
        <v>3.34</v>
      </c>
      <c r="L1422" s="199">
        <v>3.38</v>
      </c>
    </row>
    <row r="1423" spans="1:12" ht="15" customHeight="1" x14ac:dyDescent="0.25">
      <c r="A1423" s="49">
        <v>1997</v>
      </c>
      <c r="B1423" s="330" t="s">
        <v>41</v>
      </c>
      <c r="C1423" s="331">
        <v>10886704289</v>
      </c>
      <c r="D1423" s="331">
        <v>4931560471</v>
      </c>
      <c r="E1423" s="331">
        <v>164290656</v>
      </c>
      <c r="F1423" s="331">
        <v>228619</v>
      </c>
      <c r="G1423" s="332">
        <f t="shared" si="44"/>
        <v>2.099983557291973E-5</v>
      </c>
      <c r="H1423" s="331">
        <v>586659</v>
      </c>
      <c r="I1423" s="331">
        <v>0</v>
      </c>
      <c r="J1423" s="331">
        <f t="shared" si="45"/>
        <v>586659</v>
      </c>
      <c r="K1423" s="199">
        <v>3.34</v>
      </c>
      <c r="L1423" s="199">
        <v>3.22</v>
      </c>
    </row>
    <row r="1424" spans="1:12" ht="15" customHeight="1" x14ac:dyDescent="0.25">
      <c r="A1424" s="49">
        <v>1998</v>
      </c>
      <c r="B1424" s="330" t="s">
        <v>41</v>
      </c>
      <c r="C1424" s="331">
        <v>11618661165</v>
      </c>
      <c r="D1424" s="331">
        <v>5115543634</v>
      </c>
      <c r="E1424" s="331">
        <v>167871177</v>
      </c>
      <c r="F1424" s="331">
        <v>247007</v>
      </c>
      <c r="G1424" s="332">
        <f t="shared" si="44"/>
        <v>2.1259506279784E-5</v>
      </c>
      <c r="H1424" s="331">
        <v>540700</v>
      </c>
      <c r="I1424" s="331">
        <v>0</v>
      </c>
      <c r="J1424" s="331">
        <f t="shared" si="45"/>
        <v>540700</v>
      </c>
      <c r="K1424" s="199">
        <v>3.28</v>
      </c>
      <c r="L1424" s="199">
        <v>3.22</v>
      </c>
    </row>
    <row r="1425" spans="1:12" ht="15" customHeight="1" x14ac:dyDescent="0.25">
      <c r="A1425" s="49">
        <v>1999</v>
      </c>
      <c r="B1425" s="330" t="s">
        <v>41</v>
      </c>
      <c r="C1425" s="331">
        <v>12760460946</v>
      </c>
      <c r="D1425" s="331">
        <v>5411182810</v>
      </c>
      <c r="E1425" s="331">
        <v>177904640</v>
      </c>
      <c r="F1425" s="331">
        <v>237089</v>
      </c>
      <c r="G1425" s="332">
        <f t="shared" si="44"/>
        <v>1.8579971444865389E-5</v>
      </c>
      <c r="H1425" s="331">
        <v>532077</v>
      </c>
      <c r="I1425" s="331">
        <v>0</v>
      </c>
      <c r="J1425" s="331">
        <f t="shared" si="45"/>
        <v>532077</v>
      </c>
      <c r="K1425" s="199">
        <v>3.29</v>
      </c>
      <c r="L1425" s="199">
        <v>3.22</v>
      </c>
    </row>
    <row r="1426" spans="1:12" ht="15" customHeight="1" x14ac:dyDescent="0.25">
      <c r="A1426" s="49">
        <v>2000</v>
      </c>
      <c r="B1426" s="330" t="s">
        <v>41</v>
      </c>
      <c r="C1426" s="331">
        <v>13363847192</v>
      </c>
      <c r="D1426" s="331">
        <v>5539567659</v>
      </c>
      <c r="E1426" s="331">
        <v>188373941</v>
      </c>
      <c r="F1426" s="331">
        <v>224935</v>
      </c>
      <c r="G1426" s="332">
        <f t="shared" si="44"/>
        <v>1.6831605208315526E-5</v>
      </c>
      <c r="H1426" s="331">
        <v>534513</v>
      </c>
      <c r="I1426" s="331">
        <v>0</v>
      </c>
      <c r="J1426" s="331">
        <f t="shared" si="45"/>
        <v>534513</v>
      </c>
      <c r="K1426" s="199">
        <v>3.4</v>
      </c>
      <c r="L1426" s="199">
        <v>3.22</v>
      </c>
    </row>
    <row r="1427" spans="1:12" ht="15" customHeight="1" x14ac:dyDescent="0.25">
      <c r="A1427" s="49">
        <v>2001</v>
      </c>
      <c r="B1427" s="330" t="s">
        <v>41</v>
      </c>
      <c r="C1427" s="331">
        <v>13491179634</v>
      </c>
      <c r="D1427" s="331">
        <v>5394342198</v>
      </c>
      <c r="E1427" s="331">
        <v>185448745</v>
      </c>
      <c r="F1427" s="331">
        <v>258118</v>
      </c>
      <c r="G1427" s="332">
        <f t="shared" si="44"/>
        <v>1.9132352173971506E-5</v>
      </c>
      <c r="H1427" s="331">
        <v>507046</v>
      </c>
      <c r="I1427" s="331">
        <v>0</v>
      </c>
      <c r="J1427" s="331">
        <f t="shared" si="45"/>
        <v>507046</v>
      </c>
      <c r="K1427" s="199">
        <v>3.44</v>
      </c>
      <c r="L1427" s="199">
        <v>3.22</v>
      </c>
    </row>
    <row r="1428" spans="1:12" ht="15" customHeight="1" x14ac:dyDescent="0.25">
      <c r="A1428" s="49">
        <v>2002</v>
      </c>
      <c r="B1428" s="330" t="s">
        <v>41</v>
      </c>
      <c r="C1428" s="331">
        <v>13481282346</v>
      </c>
      <c r="D1428" s="331">
        <v>5183096443</v>
      </c>
      <c r="E1428" s="331">
        <v>176388936</v>
      </c>
      <c r="F1428" s="331">
        <v>257288</v>
      </c>
      <c r="G1428" s="332">
        <f t="shared" si="44"/>
        <v>1.9084831353327402E-5</v>
      </c>
      <c r="H1428" s="331">
        <v>526949</v>
      </c>
      <c r="I1428" s="331">
        <v>0</v>
      </c>
      <c r="J1428" s="331">
        <f t="shared" si="45"/>
        <v>526949</v>
      </c>
      <c r="K1428" s="199">
        <v>3.4</v>
      </c>
      <c r="L1428" s="199">
        <v>3.22</v>
      </c>
    </row>
    <row r="1429" spans="1:12" ht="15" customHeight="1" x14ac:dyDescent="0.25">
      <c r="A1429" s="49">
        <v>2003</v>
      </c>
      <c r="B1429" s="330" t="s">
        <v>41</v>
      </c>
      <c r="C1429" s="331">
        <v>14292724244</v>
      </c>
      <c r="D1429" s="331">
        <v>5358834870</v>
      </c>
      <c r="E1429" s="331">
        <v>180248363</v>
      </c>
      <c r="F1429" s="331">
        <v>228115</v>
      </c>
      <c r="G1429" s="332">
        <f t="shared" si="44"/>
        <v>1.5960218367450928E-5</v>
      </c>
      <c r="H1429" s="331">
        <v>512280</v>
      </c>
      <c r="I1429" s="331">
        <v>0</v>
      </c>
      <c r="J1429" s="331">
        <f t="shared" si="45"/>
        <v>512280</v>
      </c>
      <c r="K1429" s="199">
        <v>3.36</v>
      </c>
      <c r="L1429" s="199">
        <v>3.22</v>
      </c>
    </row>
    <row r="1430" spans="1:12" ht="15" customHeight="1" x14ac:dyDescent="0.25">
      <c r="A1430" s="49">
        <v>2004</v>
      </c>
      <c r="B1430" s="330" t="s">
        <v>41</v>
      </c>
      <c r="C1430" s="331">
        <v>15060926938</v>
      </c>
      <c r="D1430" s="331">
        <v>5533188087</v>
      </c>
      <c r="E1430" s="331">
        <v>182627989</v>
      </c>
      <c r="F1430" s="331">
        <v>198049</v>
      </c>
      <c r="G1430" s="332">
        <f t="shared" si="44"/>
        <v>1.3149854641436811E-5</v>
      </c>
      <c r="H1430" s="331">
        <v>519928</v>
      </c>
      <c r="I1430" s="331">
        <v>0</v>
      </c>
      <c r="J1430" s="331">
        <f t="shared" si="45"/>
        <v>519928</v>
      </c>
      <c r="K1430" s="199">
        <v>3.3</v>
      </c>
      <c r="L1430" s="199">
        <v>3.22</v>
      </c>
    </row>
    <row r="1431" spans="1:12" ht="15" customHeight="1" x14ac:dyDescent="0.25">
      <c r="A1431" s="49">
        <v>2005</v>
      </c>
      <c r="B1431" s="330" t="s">
        <v>41</v>
      </c>
      <c r="C1431" s="331">
        <v>15650381341</v>
      </c>
      <c r="D1431" s="331">
        <v>5577964647</v>
      </c>
      <c r="E1431" s="331">
        <v>189843922</v>
      </c>
      <c r="F1431" s="331">
        <v>205828</v>
      </c>
      <c r="G1431" s="332">
        <f t="shared" si="44"/>
        <v>1.3151628418202388E-5</v>
      </c>
      <c r="H1431" s="331">
        <v>525044</v>
      </c>
      <c r="I1431" s="331">
        <v>0</v>
      </c>
      <c r="J1431" s="331">
        <f t="shared" si="45"/>
        <v>525044</v>
      </c>
      <c r="K1431" s="199">
        <v>3.4</v>
      </c>
      <c r="L1431" s="199">
        <v>3.22</v>
      </c>
    </row>
    <row r="1432" spans="1:12" ht="15" customHeight="1" x14ac:dyDescent="0.25">
      <c r="A1432" s="49">
        <v>2006</v>
      </c>
      <c r="B1432" s="330" t="s">
        <v>41</v>
      </c>
      <c r="C1432" s="331">
        <v>16019796548</v>
      </c>
      <c r="D1432" s="331">
        <v>5508046996</v>
      </c>
      <c r="E1432" s="331">
        <v>178197085</v>
      </c>
      <c r="F1432" s="331">
        <v>199150</v>
      </c>
      <c r="G1432" s="332">
        <f t="shared" si="44"/>
        <v>1.2431493708630337E-5</v>
      </c>
      <c r="H1432" s="331">
        <v>525623</v>
      </c>
      <c r="I1432" s="331">
        <v>0</v>
      </c>
      <c r="J1432" s="331">
        <f t="shared" si="45"/>
        <v>525623</v>
      </c>
      <c r="K1432" s="199">
        <v>3.24</v>
      </c>
      <c r="L1432" s="199">
        <v>3.22</v>
      </c>
    </row>
    <row r="1433" spans="1:12" ht="15" customHeight="1" x14ac:dyDescent="0.25">
      <c r="A1433" s="49">
        <v>2007</v>
      </c>
      <c r="B1433" s="330" t="s">
        <v>41</v>
      </c>
      <c r="C1433" s="331">
        <v>16403712033</v>
      </c>
      <c r="D1433" s="331">
        <v>5442791322</v>
      </c>
      <c r="E1433" s="331">
        <v>173172762</v>
      </c>
      <c r="F1433" s="331">
        <v>204317</v>
      </c>
      <c r="G1433" s="332">
        <f t="shared" si="44"/>
        <v>1.2455534429583216E-5</v>
      </c>
      <c r="H1433" s="331">
        <v>529260</v>
      </c>
      <c r="I1433" s="331">
        <v>0</v>
      </c>
      <c r="J1433" s="331">
        <f t="shared" si="45"/>
        <v>529260</v>
      </c>
      <c r="K1433" s="199">
        <v>3.18</v>
      </c>
      <c r="L1433" s="199">
        <v>3.22</v>
      </c>
    </row>
    <row r="1434" spans="1:12" ht="15" customHeight="1" x14ac:dyDescent="0.25">
      <c r="A1434" s="49">
        <v>2008</v>
      </c>
      <c r="B1434" s="330" t="s">
        <v>41</v>
      </c>
      <c r="C1434" s="331">
        <v>16613833604</v>
      </c>
      <c r="D1434" s="331">
        <v>5338982267</v>
      </c>
      <c r="E1434" s="331">
        <v>169623534</v>
      </c>
      <c r="F1434" s="331">
        <v>221622</v>
      </c>
      <c r="G1434" s="332">
        <f t="shared" si="44"/>
        <v>1.3339606335448164E-5</v>
      </c>
      <c r="H1434" s="331">
        <v>506875</v>
      </c>
      <c r="I1434" s="331">
        <v>0</v>
      </c>
      <c r="J1434" s="331">
        <f t="shared" si="45"/>
        <v>506875</v>
      </c>
      <c r="K1434" s="199">
        <v>3.2</v>
      </c>
      <c r="L1434" s="199">
        <v>3.22</v>
      </c>
    </row>
    <row r="1435" spans="1:12" ht="15" customHeight="1" x14ac:dyDescent="0.25">
      <c r="A1435" s="49">
        <v>2009</v>
      </c>
      <c r="B1435" s="330" t="s">
        <v>41</v>
      </c>
      <c r="C1435" s="331">
        <v>15987445182</v>
      </c>
      <c r="D1435" s="331">
        <v>5032624403</v>
      </c>
      <c r="E1435" s="331">
        <v>156666701</v>
      </c>
      <c r="F1435" s="331">
        <v>304176</v>
      </c>
      <c r="G1435" s="332">
        <f t="shared" si="44"/>
        <v>1.902592919239321E-5</v>
      </c>
      <c r="H1435" s="331">
        <v>397376</v>
      </c>
      <c r="I1435" s="331">
        <v>0</v>
      </c>
      <c r="J1435" s="331">
        <f t="shared" si="45"/>
        <v>397376</v>
      </c>
      <c r="K1435" s="199">
        <v>3.1</v>
      </c>
      <c r="L1435" s="199">
        <v>2.68</v>
      </c>
    </row>
    <row r="1436" spans="1:12" x14ac:dyDescent="0.25">
      <c r="A1436" s="49">
        <v>2010</v>
      </c>
      <c r="B1436" s="330" t="s">
        <v>41</v>
      </c>
      <c r="C1436" s="331">
        <v>15874717388</v>
      </c>
      <c r="D1436" s="331">
        <v>5001163170</v>
      </c>
      <c r="E1436" s="331">
        <v>162734006</v>
      </c>
      <c r="F1436" s="331">
        <v>298025</v>
      </c>
      <c r="G1436" s="332">
        <f t="shared" si="44"/>
        <v>1.8773562559625959E-5</v>
      </c>
      <c r="H1436" s="331">
        <v>294276</v>
      </c>
      <c r="I1436" s="331">
        <v>0</v>
      </c>
      <c r="J1436" s="331">
        <f t="shared" si="45"/>
        <v>294276</v>
      </c>
      <c r="K1436" s="199">
        <v>3.3</v>
      </c>
      <c r="L1436" s="199">
        <v>2.68</v>
      </c>
    </row>
    <row r="1437" spans="1:12" ht="15" customHeight="1" x14ac:dyDescent="0.25">
      <c r="A1437" s="49">
        <v>2011</v>
      </c>
      <c r="B1437" s="330" t="s">
        <v>41</v>
      </c>
      <c r="C1437" s="331">
        <v>16017141251</v>
      </c>
      <c r="D1437" s="331">
        <v>4967606281</v>
      </c>
      <c r="E1437" s="331">
        <v>178507859</v>
      </c>
      <c r="F1437" s="331">
        <v>226148</v>
      </c>
      <c r="G1437" s="332">
        <f t="shared" si="44"/>
        <v>1.4119123784706641E-5</v>
      </c>
      <c r="H1437" s="331">
        <v>359118</v>
      </c>
      <c r="I1437" s="331">
        <v>0</v>
      </c>
      <c r="J1437" s="331">
        <f t="shared" si="45"/>
        <v>359118</v>
      </c>
      <c r="K1437" s="199">
        <v>3.6</v>
      </c>
      <c r="L1437" s="199">
        <v>2.68</v>
      </c>
    </row>
    <row r="1438" spans="1:12" ht="15" customHeight="1" x14ac:dyDescent="0.25">
      <c r="A1438" s="49">
        <v>2012</v>
      </c>
      <c r="B1438" s="330" t="s">
        <v>41</v>
      </c>
      <c r="C1438" s="331">
        <v>16500735648</v>
      </c>
      <c r="D1438" s="331">
        <v>5538861462</v>
      </c>
      <c r="E1438" s="331">
        <v>198710662</v>
      </c>
      <c r="F1438" s="331">
        <v>196463</v>
      </c>
      <c r="G1438" s="332">
        <f t="shared" si="44"/>
        <v>1.1906317644923464E-5</v>
      </c>
      <c r="H1438" s="331">
        <v>363835</v>
      </c>
      <c r="I1438" s="331">
        <v>0</v>
      </c>
      <c r="J1438" s="331">
        <f t="shared" si="45"/>
        <v>363835</v>
      </c>
      <c r="K1438" s="199">
        <v>3.59</v>
      </c>
      <c r="L1438" s="199">
        <v>2.68</v>
      </c>
    </row>
    <row r="1439" spans="1:12" ht="15" customHeight="1" x14ac:dyDescent="0.25">
      <c r="A1439" s="49">
        <v>2013</v>
      </c>
      <c r="B1439" s="330" t="s">
        <v>41</v>
      </c>
      <c r="C1439" s="331">
        <v>16572336418</v>
      </c>
      <c r="D1439" s="331">
        <v>4997733226</v>
      </c>
      <c r="E1439" s="331">
        <v>176594950</v>
      </c>
      <c r="F1439" s="331">
        <v>211044</v>
      </c>
      <c r="G1439" s="332">
        <f t="shared" si="44"/>
        <v>1.273471613639071E-5</v>
      </c>
      <c r="H1439" s="331">
        <v>372241</v>
      </c>
      <c r="I1439" s="331">
        <v>0</v>
      </c>
      <c r="J1439" s="331">
        <f t="shared" si="45"/>
        <v>372241</v>
      </c>
      <c r="K1439" s="199">
        <v>3.53</v>
      </c>
      <c r="L1439" s="199">
        <v>2.68</v>
      </c>
    </row>
    <row r="1440" spans="1:12" ht="15" customHeight="1" x14ac:dyDescent="0.25">
      <c r="A1440" s="49">
        <v>2014</v>
      </c>
      <c r="B1440" s="330" t="s">
        <v>41</v>
      </c>
      <c r="C1440" s="331">
        <v>16600910133</v>
      </c>
      <c r="D1440" s="331">
        <v>4917227305</v>
      </c>
      <c r="E1440" s="331">
        <v>172366670</v>
      </c>
      <c r="F1440" s="331">
        <v>162406</v>
      </c>
      <c r="G1440" s="332">
        <f t="shared" si="44"/>
        <v>9.7829576028583158E-6</v>
      </c>
      <c r="H1440" s="331">
        <v>409381</v>
      </c>
      <c r="I1440" s="331">
        <v>0</v>
      </c>
      <c r="J1440" s="331">
        <f t="shared" si="45"/>
        <v>409381</v>
      </c>
      <c r="K1440" s="333">
        <v>3.5053630696456084</v>
      </c>
      <c r="L1440" s="199">
        <v>2.68</v>
      </c>
    </row>
    <row r="1441" spans="1:12" ht="15" customHeight="1" x14ac:dyDescent="0.25">
      <c r="A1441" s="49">
        <v>2015</v>
      </c>
      <c r="B1441" s="330" t="s">
        <v>41</v>
      </c>
      <c r="C1441" s="334">
        <v>16813725000</v>
      </c>
      <c r="D1441" s="334">
        <v>4900044000</v>
      </c>
      <c r="E1441" s="334">
        <v>160776000</v>
      </c>
      <c r="F1441" s="331">
        <v>151142</v>
      </c>
      <c r="G1441" s="332">
        <f t="shared" si="44"/>
        <v>8.9892037606181853E-6</v>
      </c>
      <c r="H1441" s="331">
        <v>440946</v>
      </c>
      <c r="I1441" s="199">
        <v>0</v>
      </c>
      <c r="J1441" s="331">
        <f t="shared" si="45"/>
        <v>440946</v>
      </c>
      <c r="K1441" s="199">
        <v>3.4</v>
      </c>
      <c r="L1441" s="199">
        <v>2.68</v>
      </c>
    </row>
    <row r="1442" spans="1:12" ht="15" customHeight="1" x14ac:dyDescent="0.25">
      <c r="A1442" s="49">
        <v>1980</v>
      </c>
      <c r="B1442" s="330" t="s">
        <v>42</v>
      </c>
      <c r="C1442" s="331">
        <v>3801737676</v>
      </c>
      <c r="D1442" s="331">
        <v>2068014743</v>
      </c>
      <c r="E1442" s="331">
        <v>85692776</v>
      </c>
      <c r="F1442" s="331">
        <v>76174</v>
      </c>
      <c r="G1442" s="332">
        <f t="shared" si="44"/>
        <v>2.0036627061587929E-5</v>
      </c>
      <c r="H1442" s="331">
        <v>26211</v>
      </c>
      <c r="I1442" s="331">
        <v>121239</v>
      </c>
      <c r="J1442" s="331">
        <f t="shared" si="45"/>
        <v>-95028</v>
      </c>
      <c r="K1442" s="199">
        <v>4.1399999999999997</v>
      </c>
      <c r="L1442" s="199">
        <v>3.2</v>
      </c>
    </row>
    <row r="1443" spans="1:12" ht="15" customHeight="1" x14ac:dyDescent="0.25">
      <c r="A1443" s="49">
        <v>1981</v>
      </c>
      <c r="B1443" s="330" t="s">
        <v>42</v>
      </c>
      <c r="C1443" s="331">
        <v>4089052412</v>
      </c>
      <c r="D1443" s="331">
        <v>2233073946</v>
      </c>
      <c r="E1443" s="331">
        <v>92101908</v>
      </c>
      <c r="F1443" s="331">
        <v>77422</v>
      </c>
      <c r="G1443" s="332">
        <f t="shared" si="44"/>
        <v>1.8933971052264419E-5</v>
      </c>
      <c r="H1443" s="331">
        <v>41154</v>
      </c>
      <c r="I1443" s="331">
        <v>112034</v>
      </c>
      <c r="J1443" s="331">
        <f t="shared" si="45"/>
        <v>-70880</v>
      </c>
      <c r="K1443" s="199">
        <v>4.12</v>
      </c>
      <c r="L1443" s="199">
        <v>3.2</v>
      </c>
    </row>
    <row r="1444" spans="1:12" ht="15" customHeight="1" x14ac:dyDescent="0.25">
      <c r="A1444" s="49">
        <v>1982</v>
      </c>
      <c r="B1444" s="330" t="s">
        <v>42</v>
      </c>
      <c r="C1444" s="331">
        <v>4213542731</v>
      </c>
      <c r="D1444" s="331">
        <v>2320306586</v>
      </c>
      <c r="E1444" s="331">
        <v>95035071</v>
      </c>
      <c r="F1444" s="331">
        <v>106529</v>
      </c>
      <c r="G1444" s="332">
        <f t="shared" si="44"/>
        <v>2.5282525134073453E-5</v>
      </c>
      <c r="H1444" s="331">
        <v>25421</v>
      </c>
      <c r="I1444" s="331">
        <v>101682</v>
      </c>
      <c r="J1444" s="331">
        <f t="shared" si="45"/>
        <v>-76261</v>
      </c>
      <c r="K1444" s="199">
        <v>4.0999999999999996</v>
      </c>
      <c r="L1444" s="199">
        <v>3.25</v>
      </c>
    </row>
    <row r="1445" spans="1:12" ht="15" customHeight="1" x14ac:dyDescent="0.25">
      <c r="A1445" s="49">
        <v>1983</v>
      </c>
      <c r="B1445" s="330" t="s">
        <v>42</v>
      </c>
      <c r="C1445" s="331">
        <v>4585173006</v>
      </c>
      <c r="D1445" s="331">
        <v>2496820085</v>
      </c>
      <c r="E1445" s="331">
        <v>102460543</v>
      </c>
      <c r="F1445" s="331">
        <v>85015</v>
      </c>
      <c r="G1445" s="332">
        <f t="shared" si="44"/>
        <v>1.854128511372467E-5</v>
      </c>
      <c r="H1445" s="331">
        <v>42827</v>
      </c>
      <c r="I1445" s="331">
        <v>89557</v>
      </c>
      <c r="J1445" s="331">
        <f t="shared" si="45"/>
        <v>-46730</v>
      </c>
      <c r="K1445" s="199">
        <v>4.0999999999999996</v>
      </c>
      <c r="L1445" s="199">
        <v>3.25</v>
      </c>
    </row>
    <row r="1446" spans="1:12" ht="15" customHeight="1" x14ac:dyDescent="0.25">
      <c r="A1446" s="49">
        <v>1984</v>
      </c>
      <c r="B1446" s="330" t="s">
        <v>42</v>
      </c>
      <c r="C1446" s="331">
        <v>5034871059</v>
      </c>
      <c r="D1446" s="331">
        <v>2816231628</v>
      </c>
      <c r="E1446" s="331">
        <v>116415237</v>
      </c>
      <c r="F1446" s="331">
        <v>66629</v>
      </c>
      <c r="G1446" s="332">
        <f t="shared" si="44"/>
        <v>1.3233506721269145E-5</v>
      </c>
      <c r="H1446" s="331">
        <v>20433</v>
      </c>
      <c r="I1446" s="331">
        <v>0</v>
      </c>
      <c r="J1446" s="331">
        <f t="shared" si="45"/>
        <v>20433</v>
      </c>
      <c r="K1446" s="199">
        <v>4.13</v>
      </c>
      <c r="L1446" s="199">
        <v>3.25</v>
      </c>
    </row>
    <row r="1447" spans="1:12" ht="15" customHeight="1" x14ac:dyDescent="0.25">
      <c r="A1447" s="49">
        <v>1985</v>
      </c>
      <c r="B1447" s="330" t="s">
        <v>42</v>
      </c>
      <c r="C1447" s="331">
        <v>5413698999</v>
      </c>
      <c r="D1447" s="331">
        <v>3034534297</v>
      </c>
      <c r="E1447" s="331">
        <v>123009572</v>
      </c>
      <c r="F1447" s="331">
        <v>77212</v>
      </c>
      <c r="G1447" s="332">
        <f t="shared" si="44"/>
        <v>1.4262337084914093E-5</v>
      </c>
      <c r="H1447" s="331">
        <v>72737</v>
      </c>
      <c r="I1447" s="331">
        <v>0</v>
      </c>
      <c r="J1447" s="331">
        <f t="shared" si="45"/>
        <v>72737</v>
      </c>
      <c r="K1447" s="199">
        <v>4.05</v>
      </c>
      <c r="L1447" s="199">
        <v>3.25</v>
      </c>
    </row>
    <row r="1448" spans="1:12" ht="15" customHeight="1" x14ac:dyDescent="0.25">
      <c r="A1448" s="49">
        <v>1986</v>
      </c>
      <c r="B1448" s="330" t="s">
        <v>42</v>
      </c>
      <c r="C1448" s="331">
        <v>5922962696</v>
      </c>
      <c r="D1448" s="331">
        <v>3281013741</v>
      </c>
      <c r="E1448" s="331">
        <v>122387599</v>
      </c>
      <c r="F1448" s="331">
        <v>72134</v>
      </c>
      <c r="G1448" s="332">
        <f t="shared" si="44"/>
        <v>1.2178702399850468E-5</v>
      </c>
      <c r="H1448" s="331">
        <v>134961</v>
      </c>
      <c r="I1448" s="331">
        <v>0</v>
      </c>
      <c r="J1448" s="331">
        <f t="shared" si="45"/>
        <v>134961</v>
      </c>
      <c r="K1448" s="199">
        <v>3.73</v>
      </c>
      <c r="L1448" s="199">
        <v>3.25</v>
      </c>
    </row>
    <row r="1449" spans="1:12" ht="15" customHeight="1" x14ac:dyDescent="0.25">
      <c r="A1449" s="49">
        <v>1987</v>
      </c>
      <c r="B1449" s="330" t="s">
        <v>42</v>
      </c>
      <c r="C1449" s="331">
        <v>6468039106</v>
      </c>
      <c r="D1449" s="331">
        <v>3530596688</v>
      </c>
      <c r="E1449" s="331">
        <v>127511399</v>
      </c>
      <c r="F1449" s="331">
        <v>65643</v>
      </c>
      <c r="G1449" s="332">
        <f t="shared" si="44"/>
        <v>1.0148825466918876E-5</v>
      </c>
      <c r="H1449" s="331">
        <v>216273</v>
      </c>
      <c r="I1449" s="331">
        <v>0</v>
      </c>
      <c r="J1449" s="331">
        <f t="shared" si="45"/>
        <v>216273</v>
      </c>
      <c r="K1449" s="199">
        <v>3.61</v>
      </c>
      <c r="L1449" s="199">
        <v>3.25</v>
      </c>
    </row>
    <row r="1450" spans="1:12" ht="15" customHeight="1" x14ac:dyDescent="0.25">
      <c r="A1450" s="49">
        <v>1988</v>
      </c>
      <c r="B1450" s="330" t="s">
        <v>42</v>
      </c>
      <c r="C1450" s="331">
        <v>7032668211</v>
      </c>
      <c r="D1450" s="331">
        <v>3775337321</v>
      </c>
      <c r="E1450" s="331">
        <v>113793564</v>
      </c>
      <c r="F1450" s="331">
        <v>79423</v>
      </c>
      <c r="G1450" s="332">
        <f t="shared" si="44"/>
        <v>1.1293437656531582E-5</v>
      </c>
      <c r="H1450" s="331">
        <v>277176</v>
      </c>
      <c r="I1450" s="331">
        <v>0</v>
      </c>
      <c r="J1450" s="331">
        <f t="shared" si="45"/>
        <v>277176</v>
      </c>
      <c r="K1450" s="199">
        <v>3.01</v>
      </c>
      <c r="L1450" s="199">
        <v>3.25</v>
      </c>
    </row>
    <row r="1451" spans="1:12" ht="15" customHeight="1" x14ac:dyDescent="0.25">
      <c r="A1451" s="49">
        <v>1989</v>
      </c>
      <c r="B1451" s="330" t="s">
        <v>42</v>
      </c>
      <c r="C1451" s="331">
        <v>7512836545</v>
      </c>
      <c r="D1451" s="331">
        <v>4002838059</v>
      </c>
      <c r="E1451" s="331">
        <v>101116940</v>
      </c>
      <c r="F1451" s="331">
        <v>107143</v>
      </c>
      <c r="G1451" s="332">
        <f t="shared" si="44"/>
        <v>1.426132451547966E-5</v>
      </c>
      <c r="H1451" s="331">
        <v>303529</v>
      </c>
      <c r="I1451" s="331">
        <v>0</v>
      </c>
      <c r="J1451" s="331">
        <f t="shared" si="45"/>
        <v>303529</v>
      </c>
      <c r="K1451" s="199">
        <v>2.5299999999999998</v>
      </c>
      <c r="L1451" s="199">
        <v>3.25</v>
      </c>
    </row>
    <row r="1452" spans="1:12" ht="15" customHeight="1" x14ac:dyDescent="0.25">
      <c r="A1452" s="49">
        <v>1990</v>
      </c>
      <c r="B1452" s="330" t="s">
        <v>42</v>
      </c>
      <c r="C1452" s="331">
        <v>7403953349</v>
      </c>
      <c r="D1452" s="331">
        <v>4087198421</v>
      </c>
      <c r="E1452" s="331">
        <v>100379673</v>
      </c>
      <c r="F1452" s="331">
        <v>126886</v>
      </c>
      <c r="G1452" s="332">
        <f t="shared" si="44"/>
        <v>1.713760122720622E-5</v>
      </c>
      <c r="H1452" s="331">
        <v>263879</v>
      </c>
      <c r="I1452" s="331">
        <v>0</v>
      </c>
      <c r="J1452" s="331">
        <f t="shared" si="45"/>
        <v>263879</v>
      </c>
      <c r="K1452" s="199">
        <v>2.46</v>
      </c>
      <c r="L1452" s="199">
        <v>3.25</v>
      </c>
    </row>
    <row r="1453" spans="1:12" ht="15" customHeight="1" x14ac:dyDescent="0.25">
      <c r="A1453" s="49">
        <v>1991</v>
      </c>
      <c r="B1453" s="330" t="s">
        <v>42</v>
      </c>
      <c r="C1453" s="331">
        <v>7088834231</v>
      </c>
      <c r="D1453" s="331">
        <v>3965754055</v>
      </c>
      <c r="E1453" s="331">
        <v>98894876</v>
      </c>
      <c r="F1453" s="331">
        <v>222339</v>
      </c>
      <c r="G1453" s="332">
        <f t="shared" si="44"/>
        <v>3.1364677569648195E-5</v>
      </c>
      <c r="H1453" s="331">
        <v>143617</v>
      </c>
      <c r="I1453" s="331">
        <v>0</v>
      </c>
      <c r="J1453" s="331">
        <f t="shared" si="45"/>
        <v>143617</v>
      </c>
      <c r="K1453" s="199">
        <v>2.4900000000000002</v>
      </c>
      <c r="L1453" s="199">
        <v>3.5</v>
      </c>
    </row>
    <row r="1454" spans="1:12" ht="15" customHeight="1" x14ac:dyDescent="0.25">
      <c r="A1454" s="49">
        <v>1992</v>
      </c>
      <c r="B1454" s="330" t="s">
        <v>42</v>
      </c>
      <c r="C1454" s="331">
        <v>7426473104</v>
      </c>
      <c r="D1454" s="331">
        <v>4125469899</v>
      </c>
      <c r="E1454" s="331">
        <v>144752775</v>
      </c>
      <c r="F1454" s="331">
        <v>195945</v>
      </c>
      <c r="G1454" s="332">
        <f t="shared" si="44"/>
        <v>2.6384664329351888E-5</v>
      </c>
      <c r="H1454" s="331">
        <v>104498</v>
      </c>
      <c r="I1454" s="331">
        <v>0</v>
      </c>
      <c r="J1454" s="331">
        <f t="shared" si="45"/>
        <v>104498</v>
      </c>
      <c r="K1454" s="199">
        <v>3.51</v>
      </c>
      <c r="L1454" s="199">
        <v>3.5</v>
      </c>
    </row>
    <row r="1455" spans="1:12" ht="15" customHeight="1" x14ac:dyDescent="0.25">
      <c r="A1455" s="49">
        <v>1993</v>
      </c>
      <c r="B1455" s="330" t="s">
        <v>42</v>
      </c>
      <c r="C1455" s="331">
        <v>7659494682</v>
      </c>
      <c r="D1455" s="331">
        <v>4283780819</v>
      </c>
      <c r="E1455" s="331">
        <v>157222005</v>
      </c>
      <c r="F1455" s="331">
        <v>154461</v>
      </c>
      <c r="G1455" s="332">
        <f t="shared" si="44"/>
        <v>2.0165951725638915E-5</v>
      </c>
      <c r="H1455" s="331">
        <v>119294</v>
      </c>
      <c r="I1455" s="331">
        <v>0</v>
      </c>
      <c r="J1455" s="331">
        <f t="shared" si="45"/>
        <v>119294</v>
      </c>
      <c r="K1455" s="199">
        <v>3.67</v>
      </c>
      <c r="L1455" s="199">
        <v>3.5</v>
      </c>
    </row>
    <row r="1456" spans="1:12" ht="15" customHeight="1" x14ac:dyDescent="0.25">
      <c r="A1456" s="49">
        <v>1994</v>
      </c>
      <c r="B1456" s="330" t="s">
        <v>42</v>
      </c>
      <c r="C1456" s="331">
        <v>7904622277</v>
      </c>
      <c r="D1456" s="331">
        <v>4514888845</v>
      </c>
      <c r="E1456" s="331">
        <v>164812128</v>
      </c>
      <c r="F1456" s="331">
        <v>175160</v>
      </c>
      <c r="G1456" s="332">
        <f t="shared" si="44"/>
        <v>2.2159186595121857E-5</v>
      </c>
      <c r="H1456" s="331">
        <v>119262</v>
      </c>
      <c r="I1456" s="331">
        <v>0</v>
      </c>
      <c r="J1456" s="331">
        <f t="shared" si="45"/>
        <v>119262</v>
      </c>
      <c r="K1456" s="199">
        <v>3.65</v>
      </c>
      <c r="L1456" s="199">
        <v>3.5</v>
      </c>
    </row>
    <row r="1457" spans="1:12" ht="15" customHeight="1" x14ac:dyDescent="0.25">
      <c r="A1457" s="49">
        <v>1995</v>
      </c>
      <c r="B1457" s="330" t="s">
        <v>42</v>
      </c>
      <c r="C1457" s="331">
        <v>8285571742</v>
      </c>
      <c r="D1457" s="331">
        <v>4659700607</v>
      </c>
      <c r="E1457" s="331">
        <v>171723486</v>
      </c>
      <c r="F1457" s="331">
        <v>182083</v>
      </c>
      <c r="G1457" s="332">
        <f t="shared" si="44"/>
        <v>2.19759125465068E-5</v>
      </c>
      <c r="H1457" s="331">
        <v>110086</v>
      </c>
      <c r="I1457" s="331">
        <v>0</v>
      </c>
      <c r="J1457" s="331">
        <f t="shared" si="45"/>
        <v>110086</v>
      </c>
      <c r="K1457" s="199">
        <v>3.69</v>
      </c>
      <c r="L1457" s="199">
        <v>2.93</v>
      </c>
    </row>
    <row r="1458" spans="1:12" ht="15" customHeight="1" x14ac:dyDescent="0.25">
      <c r="A1458" s="49">
        <v>1996</v>
      </c>
      <c r="B1458" s="330" t="s">
        <v>42</v>
      </c>
      <c r="C1458" s="331">
        <v>8532845398</v>
      </c>
      <c r="D1458" s="331">
        <v>4747046239</v>
      </c>
      <c r="E1458" s="331">
        <v>174872075</v>
      </c>
      <c r="F1458" s="331">
        <v>183120</v>
      </c>
      <c r="G1458" s="332">
        <f t="shared" si="44"/>
        <v>2.1460602115552358E-5</v>
      </c>
      <c r="H1458" s="331">
        <v>116240</v>
      </c>
      <c r="I1458" s="331">
        <v>0</v>
      </c>
      <c r="J1458" s="331">
        <f t="shared" si="45"/>
        <v>116240</v>
      </c>
      <c r="K1458" s="199">
        <v>3.68</v>
      </c>
      <c r="L1458" s="199">
        <v>2.93</v>
      </c>
    </row>
    <row r="1459" spans="1:12" ht="15" customHeight="1" x14ac:dyDescent="0.25">
      <c r="A1459" s="49">
        <v>1997</v>
      </c>
      <c r="B1459" s="330" t="s">
        <v>42</v>
      </c>
      <c r="C1459" s="331">
        <v>9147590523</v>
      </c>
      <c r="D1459" s="331">
        <v>5020636896</v>
      </c>
      <c r="E1459" s="331">
        <v>183081238</v>
      </c>
      <c r="F1459" s="331">
        <v>149937</v>
      </c>
      <c r="G1459" s="332">
        <f t="shared" si="44"/>
        <v>1.6390873599229208E-5</v>
      </c>
      <c r="H1459" s="331">
        <v>160044</v>
      </c>
      <c r="I1459" s="331">
        <v>0</v>
      </c>
      <c r="J1459" s="331">
        <f t="shared" si="45"/>
        <v>160044</v>
      </c>
      <c r="K1459" s="199">
        <v>3.65</v>
      </c>
      <c r="L1459" s="199">
        <v>2.93</v>
      </c>
    </row>
    <row r="1460" spans="1:12" ht="15" customHeight="1" x14ac:dyDescent="0.25">
      <c r="A1460" s="49">
        <v>1998</v>
      </c>
      <c r="B1460" s="330" t="s">
        <v>42</v>
      </c>
      <c r="C1460" s="331">
        <v>9814348312</v>
      </c>
      <c r="D1460" s="331">
        <v>5292286874</v>
      </c>
      <c r="E1460" s="331">
        <v>181240662</v>
      </c>
      <c r="F1460" s="331">
        <v>133824</v>
      </c>
      <c r="G1460" s="332">
        <f t="shared" si="44"/>
        <v>1.3635546217202567E-5</v>
      </c>
      <c r="H1460" s="331">
        <v>224258</v>
      </c>
      <c r="I1460" s="331">
        <v>0</v>
      </c>
      <c r="J1460" s="331">
        <f t="shared" si="45"/>
        <v>224258</v>
      </c>
      <c r="K1460" s="199">
        <v>3.42</v>
      </c>
      <c r="L1460" s="199">
        <v>2.93</v>
      </c>
    </row>
    <row r="1461" spans="1:12" ht="15" customHeight="1" x14ac:dyDescent="0.25">
      <c r="A1461" s="49">
        <v>1999</v>
      </c>
      <c r="B1461" s="330" t="s">
        <v>42</v>
      </c>
      <c r="C1461" s="331">
        <v>10393883246</v>
      </c>
      <c r="D1461" s="331">
        <v>4661482584</v>
      </c>
      <c r="E1461" s="331">
        <v>152759057</v>
      </c>
      <c r="F1461" s="331">
        <v>139401</v>
      </c>
      <c r="G1461" s="332">
        <f t="shared" si="44"/>
        <v>1.3411830468044494E-5</v>
      </c>
      <c r="H1461" s="331">
        <v>263810</v>
      </c>
      <c r="I1461" s="331">
        <v>0</v>
      </c>
      <c r="J1461" s="331">
        <f t="shared" si="45"/>
        <v>263810</v>
      </c>
      <c r="K1461" s="199">
        <v>3.28</v>
      </c>
      <c r="L1461" s="199">
        <v>2.93</v>
      </c>
    </row>
    <row r="1462" spans="1:12" ht="15" customHeight="1" x14ac:dyDescent="0.25">
      <c r="A1462" s="49">
        <v>2000</v>
      </c>
      <c r="B1462" s="330" t="s">
        <v>42</v>
      </c>
      <c r="C1462" s="331">
        <v>11203455813</v>
      </c>
      <c r="D1462" s="331">
        <v>4402666178</v>
      </c>
      <c r="E1462" s="331">
        <v>139350665</v>
      </c>
      <c r="F1462" s="331">
        <v>135677</v>
      </c>
      <c r="G1462" s="332">
        <f t="shared" si="44"/>
        <v>1.2110281172579478E-5</v>
      </c>
      <c r="H1462" s="331">
        <v>292892</v>
      </c>
      <c r="I1462" s="331">
        <v>0</v>
      </c>
      <c r="J1462" s="331">
        <f t="shared" si="45"/>
        <v>292892</v>
      </c>
      <c r="K1462" s="199">
        <v>3.17</v>
      </c>
      <c r="L1462" s="199">
        <v>2.93</v>
      </c>
    </row>
    <row r="1463" spans="1:12" ht="15" customHeight="1" x14ac:dyDescent="0.25">
      <c r="A1463" s="49">
        <v>2001</v>
      </c>
      <c r="B1463" s="330" t="s">
        <v>42</v>
      </c>
      <c r="C1463" s="331">
        <v>11489669885</v>
      </c>
      <c r="D1463" s="331">
        <v>4398491367</v>
      </c>
      <c r="E1463" s="331">
        <v>131367254</v>
      </c>
      <c r="F1463" s="331">
        <v>173383</v>
      </c>
      <c r="G1463" s="332">
        <f t="shared" si="44"/>
        <v>1.5090337819570872E-5</v>
      </c>
      <c r="H1463" s="331">
        <v>277782</v>
      </c>
      <c r="I1463" s="331">
        <v>0</v>
      </c>
      <c r="J1463" s="331">
        <f t="shared" si="45"/>
        <v>277782</v>
      </c>
      <c r="K1463" s="199">
        <v>2.99</v>
      </c>
      <c r="L1463" s="199">
        <v>2.93</v>
      </c>
    </row>
    <row r="1464" spans="1:12" ht="15" customHeight="1" x14ac:dyDescent="0.25">
      <c r="A1464" s="49">
        <v>2002</v>
      </c>
      <c r="B1464" s="330" t="s">
        <v>42</v>
      </c>
      <c r="C1464" s="331">
        <v>11709504860</v>
      </c>
      <c r="D1464" s="331">
        <v>4378171248</v>
      </c>
      <c r="E1464" s="331">
        <v>128132419</v>
      </c>
      <c r="F1464" s="331">
        <v>203128</v>
      </c>
      <c r="G1464" s="332">
        <f t="shared" si="44"/>
        <v>1.7347274921409445E-5</v>
      </c>
      <c r="H1464" s="331">
        <v>254112</v>
      </c>
      <c r="I1464" s="331">
        <v>0</v>
      </c>
      <c r="J1464" s="331">
        <f t="shared" si="45"/>
        <v>254112</v>
      </c>
      <c r="K1464" s="199">
        <v>2.93</v>
      </c>
      <c r="L1464" s="199">
        <v>2.93</v>
      </c>
    </row>
    <row r="1465" spans="1:12" ht="15" customHeight="1" x14ac:dyDescent="0.25">
      <c r="A1465" s="49">
        <v>2003</v>
      </c>
      <c r="B1465" s="330" t="s">
        <v>42</v>
      </c>
      <c r="C1465" s="331">
        <v>12394491562</v>
      </c>
      <c r="D1465" s="331">
        <v>4458302626</v>
      </c>
      <c r="E1465" s="331">
        <v>135866286</v>
      </c>
      <c r="F1465" s="331">
        <v>206147</v>
      </c>
      <c r="G1465" s="332">
        <f t="shared" si="44"/>
        <v>1.6632146544197227E-5</v>
      </c>
      <c r="H1465" s="331">
        <v>203277</v>
      </c>
      <c r="I1465" s="331">
        <v>0</v>
      </c>
      <c r="J1465" s="331">
        <f t="shared" si="45"/>
        <v>203277</v>
      </c>
      <c r="K1465" s="199">
        <v>3.05</v>
      </c>
      <c r="L1465" s="199">
        <v>2.93</v>
      </c>
    </row>
    <row r="1466" spans="1:12" ht="15" customHeight="1" x14ac:dyDescent="0.25">
      <c r="A1466" s="49">
        <v>2004</v>
      </c>
      <c r="B1466" s="330" t="s">
        <v>42</v>
      </c>
      <c r="C1466" s="331">
        <v>12875324897</v>
      </c>
      <c r="D1466" s="331">
        <v>5076054123</v>
      </c>
      <c r="E1466" s="331">
        <v>161718316</v>
      </c>
      <c r="F1466" s="331">
        <v>202267</v>
      </c>
      <c r="G1466" s="332">
        <f t="shared" si="44"/>
        <v>1.5709661823534176E-5</v>
      </c>
      <c r="H1466" s="331">
        <v>175762</v>
      </c>
      <c r="I1466" s="331">
        <v>0</v>
      </c>
      <c r="J1466" s="331">
        <f t="shared" si="45"/>
        <v>175762</v>
      </c>
      <c r="K1466" s="199">
        <v>3.19</v>
      </c>
      <c r="L1466" s="199">
        <v>2.93</v>
      </c>
    </row>
    <row r="1467" spans="1:12" ht="15" customHeight="1" x14ac:dyDescent="0.25">
      <c r="A1467" s="49">
        <v>2005</v>
      </c>
      <c r="B1467" s="330" t="s">
        <v>42</v>
      </c>
      <c r="C1467" s="331">
        <v>13330135160</v>
      </c>
      <c r="D1467" s="331">
        <v>5640006606</v>
      </c>
      <c r="E1467" s="331">
        <v>185340938</v>
      </c>
      <c r="F1467" s="331">
        <v>200100</v>
      </c>
      <c r="G1467" s="332">
        <f t="shared" si="44"/>
        <v>1.5011100607625047E-5</v>
      </c>
      <c r="H1467" s="331">
        <v>178101</v>
      </c>
      <c r="I1467" s="331">
        <v>0</v>
      </c>
      <c r="J1467" s="331">
        <f t="shared" si="45"/>
        <v>178101</v>
      </c>
      <c r="K1467" s="199">
        <v>3.29</v>
      </c>
      <c r="L1467" s="199">
        <v>2.93</v>
      </c>
    </row>
    <row r="1468" spans="1:12" ht="15" customHeight="1" x14ac:dyDescent="0.25">
      <c r="A1468" s="49">
        <v>2006</v>
      </c>
      <c r="B1468" s="330" t="s">
        <v>42</v>
      </c>
      <c r="C1468" s="331">
        <v>14028184854</v>
      </c>
      <c r="D1468" s="331">
        <v>5737186711</v>
      </c>
      <c r="E1468" s="331">
        <v>191569992</v>
      </c>
      <c r="F1468" s="331">
        <v>195162</v>
      </c>
      <c r="G1468" s="332">
        <f t="shared" si="44"/>
        <v>1.3912134893514143E-5</v>
      </c>
      <c r="H1468" s="331">
        <v>193196</v>
      </c>
      <c r="I1468" s="331">
        <v>0</v>
      </c>
      <c r="J1468" s="331">
        <f t="shared" si="45"/>
        <v>193196</v>
      </c>
      <c r="K1468" s="199">
        <v>3.34</v>
      </c>
      <c r="L1468" s="199">
        <v>2.93</v>
      </c>
    </row>
    <row r="1469" spans="1:12" ht="15" customHeight="1" x14ac:dyDescent="0.25">
      <c r="A1469" s="49">
        <v>2007</v>
      </c>
      <c r="B1469" s="330" t="s">
        <v>42</v>
      </c>
      <c r="C1469" s="331">
        <v>14388033727</v>
      </c>
      <c r="D1469" s="331">
        <v>5209114108</v>
      </c>
      <c r="E1469" s="331">
        <v>174876987</v>
      </c>
      <c r="F1469" s="331">
        <v>228046</v>
      </c>
      <c r="G1469" s="332">
        <f t="shared" si="44"/>
        <v>1.5849698737643222E-5</v>
      </c>
      <c r="H1469" s="331">
        <v>159901</v>
      </c>
      <c r="I1469" s="331">
        <v>0</v>
      </c>
      <c r="J1469" s="331">
        <f t="shared" si="45"/>
        <v>159901</v>
      </c>
      <c r="K1469" s="199">
        <v>3.36</v>
      </c>
      <c r="L1469" s="199">
        <v>2.93</v>
      </c>
    </row>
    <row r="1470" spans="1:12" ht="15" customHeight="1" x14ac:dyDescent="0.25">
      <c r="A1470" s="49">
        <v>2008</v>
      </c>
      <c r="B1470" s="330" t="s">
        <v>42</v>
      </c>
      <c r="C1470" s="331">
        <v>14374139506</v>
      </c>
      <c r="D1470" s="331">
        <v>5034401925</v>
      </c>
      <c r="E1470" s="331">
        <v>168787952</v>
      </c>
      <c r="F1470" s="331">
        <v>276037</v>
      </c>
      <c r="G1470" s="332">
        <f t="shared" si="44"/>
        <v>1.9203723456613016E-5</v>
      </c>
      <c r="H1470" s="331">
        <v>73858</v>
      </c>
      <c r="I1470" s="331">
        <v>0</v>
      </c>
      <c r="J1470" s="331">
        <f t="shared" si="45"/>
        <v>73858</v>
      </c>
      <c r="K1470" s="199">
        <v>3.4</v>
      </c>
      <c r="L1470" s="199">
        <v>2.93</v>
      </c>
    </row>
    <row r="1471" spans="1:12" x14ac:dyDescent="0.25">
      <c r="A1471" s="49">
        <v>2009</v>
      </c>
      <c r="B1471" s="330" t="s">
        <v>42</v>
      </c>
      <c r="C1471" s="331">
        <v>13569821650</v>
      </c>
      <c r="D1471" s="331">
        <v>5658576514</v>
      </c>
      <c r="E1471" s="331">
        <v>190785232</v>
      </c>
      <c r="F1471" s="331">
        <v>406798</v>
      </c>
      <c r="G1471" s="332">
        <f t="shared" si="44"/>
        <v>2.997813902734676E-5</v>
      </c>
      <c r="H1471" s="331">
        <v>1930</v>
      </c>
      <c r="I1471" s="331">
        <v>127522</v>
      </c>
      <c r="J1471" s="331">
        <f t="shared" si="45"/>
        <v>-125592</v>
      </c>
      <c r="K1471" s="199">
        <v>3.4</v>
      </c>
      <c r="L1471" s="199">
        <v>3.01</v>
      </c>
    </row>
    <row r="1472" spans="1:12" ht="15" customHeight="1" x14ac:dyDescent="0.25">
      <c r="A1472" s="49">
        <v>2010</v>
      </c>
      <c r="B1472" s="330" t="s">
        <v>42</v>
      </c>
      <c r="C1472" s="331">
        <v>13928652717</v>
      </c>
      <c r="D1472" s="331">
        <v>5851947956</v>
      </c>
      <c r="E1472" s="331">
        <v>214903014</v>
      </c>
      <c r="F1472" s="331">
        <v>311585</v>
      </c>
      <c r="G1472" s="332">
        <f t="shared" si="44"/>
        <v>2.2370074574384981E-5</v>
      </c>
      <c r="H1472" s="331">
        <v>37169</v>
      </c>
      <c r="I1472" s="331">
        <v>225473</v>
      </c>
      <c r="J1472" s="331">
        <f t="shared" si="45"/>
        <v>-188304</v>
      </c>
      <c r="K1472" s="199">
        <v>3.7</v>
      </c>
      <c r="L1472" s="199">
        <v>3.01</v>
      </c>
    </row>
    <row r="1473" spans="1:12" ht="15" customHeight="1" x14ac:dyDescent="0.25">
      <c r="A1473" s="49">
        <v>2011</v>
      </c>
      <c r="B1473" s="330" t="s">
        <v>42</v>
      </c>
      <c r="C1473" s="331">
        <v>14347669521</v>
      </c>
      <c r="D1473" s="331">
        <v>5959495244</v>
      </c>
      <c r="E1473" s="331">
        <v>225882802</v>
      </c>
      <c r="F1473" s="331">
        <v>283631</v>
      </c>
      <c r="G1473" s="332">
        <f t="shared" si="44"/>
        <v>1.9768436928719528E-5</v>
      </c>
      <c r="H1473" s="331">
        <v>1123</v>
      </c>
      <c r="I1473" s="331">
        <v>228251</v>
      </c>
      <c r="J1473" s="331">
        <f t="shared" si="45"/>
        <v>-227128</v>
      </c>
      <c r="K1473" s="199">
        <v>3.8</v>
      </c>
      <c r="L1473" s="199">
        <v>3.01</v>
      </c>
    </row>
    <row r="1474" spans="1:12" ht="15" customHeight="1" x14ac:dyDescent="0.25">
      <c r="A1474" s="49">
        <v>2012</v>
      </c>
      <c r="B1474" s="330" t="s">
        <v>42</v>
      </c>
      <c r="C1474" s="331">
        <v>14903858410</v>
      </c>
      <c r="D1474" s="331">
        <v>6217332406</v>
      </c>
      <c r="E1474" s="331">
        <v>239405564</v>
      </c>
      <c r="F1474" s="331">
        <v>249963</v>
      </c>
      <c r="G1474" s="332">
        <f t="shared" ref="G1474:G1537" si="46">F1474/C1474</f>
        <v>1.6771697175563813E-5</v>
      </c>
      <c r="H1474" s="331">
        <v>775</v>
      </c>
      <c r="I1474" s="331">
        <v>199378</v>
      </c>
      <c r="J1474" s="331">
        <f t="shared" ref="J1474:J1537" si="47">H1474-I1474</f>
        <v>-198603</v>
      </c>
      <c r="K1474" s="199">
        <v>3.85</v>
      </c>
      <c r="L1474" s="199">
        <v>3.01</v>
      </c>
    </row>
    <row r="1475" spans="1:12" ht="15" customHeight="1" x14ac:dyDescent="0.25">
      <c r="A1475" s="49">
        <v>2013</v>
      </c>
      <c r="B1475" s="330" t="s">
        <v>42</v>
      </c>
      <c r="C1475" s="331">
        <v>15480663004</v>
      </c>
      <c r="D1475" s="331">
        <v>6477783165</v>
      </c>
      <c r="E1475" s="331">
        <v>247778274</v>
      </c>
      <c r="F1475" s="331">
        <v>199863</v>
      </c>
      <c r="G1475" s="332">
        <f t="shared" si="46"/>
        <v>1.2910493558858431E-5</v>
      </c>
      <c r="H1475" s="331">
        <v>282</v>
      </c>
      <c r="I1475" s="331">
        <v>109286</v>
      </c>
      <c r="J1475" s="331">
        <f t="shared" si="47"/>
        <v>-109004</v>
      </c>
      <c r="K1475" s="199">
        <v>3.82</v>
      </c>
      <c r="L1475" s="199">
        <v>3.01</v>
      </c>
    </row>
    <row r="1476" spans="1:12" ht="15" customHeight="1" x14ac:dyDescent="0.25">
      <c r="A1476" s="49">
        <v>2014</v>
      </c>
      <c r="B1476" s="330" t="s">
        <v>42</v>
      </c>
      <c r="C1476" s="331">
        <v>16515876568</v>
      </c>
      <c r="D1476" s="331">
        <v>6857335758</v>
      </c>
      <c r="E1476" s="331">
        <v>254177681</v>
      </c>
      <c r="F1476" s="331">
        <v>179072</v>
      </c>
      <c r="G1476" s="332">
        <f t="shared" si="46"/>
        <v>1.0842415736319882E-5</v>
      </c>
      <c r="H1476" s="331">
        <v>16262</v>
      </c>
      <c r="I1476" s="331">
        <v>0</v>
      </c>
      <c r="J1476" s="331">
        <f t="shared" si="47"/>
        <v>16262</v>
      </c>
      <c r="K1476" s="333">
        <v>3.7066535746549634</v>
      </c>
      <c r="L1476" s="199">
        <v>3.01</v>
      </c>
    </row>
    <row r="1477" spans="1:12" ht="15" customHeight="1" x14ac:dyDescent="0.25">
      <c r="A1477" s="49">
        <v>2015</v>
      </c>
      <c r="B1477" s="330" t="s">
        <v>42</v>
      </c>
      <c r="C1477" s="334">
        <v>17309315000</v>
      </c>
      <c r="D1477" s="334">
        <v>7237311000</v>
      </c>
      <c r="E1477" s="334">
        <v>256925000</v>
      </c>
      <c r="F1477" s="331">
        <v>154010</v>
      </c>
      <c r="G1477" s="332">
        <f t="shared" si="46"/>
        <v>8.8975213634970538E-6</v>
      </c>
      <c r="H1477" s="331">
        <v>131921</v>
      </c>
      <c r="I1477" s="199">
        <v>0</v>
      </c>
      <c r="J1477" s="331">
        <f t="shared" si="47"/>
        <v>131921</v>
      </c>
      <c r="K1477" s="199">
        <v>3.6</v>
      </c>
      <c r="L1477" s="199">
        <v>3.01</v>
      </c>
    </row>
    <row r="1478" spans="1:12" ht="15" customHeight="1" x14ac:dyDescent="0.25">
      <c r="A1478" s="49">
        <v>1980</v>
      </c>
      <c r="B1478" s="330" t="s">
        <v>43</v>
      </c>
      <c r="C1478" s="331">
        <v>11025292267</v>
      </c>
      <c r="D1478" s="331">
        <v>5559319330</v>
      </c>
      <c r="E1478" s="331">
        <v>114463244</v>
      </c>
      <c r="F1478" s="331">
        <v>124314</v>
      </c>
      <c r="G1478" s="332">
        <f t="shared" si="46"/>
        <v>1.1275347354925589E-5</v>
      </c>
      <c r="H1478" s="331">
        <v>198045</v>
      </c>
      <c r="I1478" s="331">
        <v>0</v>
      </c>
      <c r="J1478" s="331">
        <f t="shared" si="47"/>
        <v>198045</v>
      </c>
      <c r="K1478" s="199">
        <v>2.06</v>
      </c>
      <c r="L1478" s="199">
        <v>1.8</v>
      </c>
    </row>
    <row r="1479" spans="1:12" ht="15" customHeight="1" x14ac:dyDescent="0.25">
      <c r="A1479" s="49">
        <v>1981</v>
      </c>
      <c r="B1479" s="330" t="s">
        <v>43</v>
      </c>
      <c r="C1479" s="331">
        <v>12073263822</v>
      </c>
      <c r="D1479" s="331">
        <v>5744130379</v>
      </c>
      <c r="E1479" s="331">
        <v>109108774</v>
      </c>
      <c r="F1479" s="331">
        <v>133197</v>
      </c>
      <c r="G1479" s="332">
        <f t="shared" si="46"/>
        <v>1.1032393722506695E-5</v>
      </c>
      <c r="H1479" s="331">
        <v>187783</v>
      </c>
      <c r="I1479" s="331">
        <v>0</v>
      </c>
      <c r="J1479" s="331">
        <f t="shared" si="47"/>
        <v>187783</v>
      </c>
      <c r="K1479" s="199">
        <v>1.9</v>
      </c>
      <c r="L1479" s="199">
        <v>1.8</v>
      </c>
    </row>
    <row r="1480" spans="1:12" ht="15" customHeight="1" x14ac:dyDescent="0.25">
      <c r="A1480" s="49">
        <v>1982</v>
      </c>
      <c r="B1480" s="330" t="s">
        <v>43</v>
      </c>
      <c r="C1480" s="331">
        <v>12346767698</v>
      </c>
      <c r="D1480" s="331">
        <v>5572041166</v>
      </c>
      <c r="E1480" s="331">
        <v>105758209</v>
      </c>
      <c r="F1480" s="331">
        <v>238869</v>
      </c>
      <c r="G1480" s="332">
        <f t="shared" si="46"/>
        <v>1.9346682941049694E-5</v>
      </c>
      <c r="H1480" s="331">
        <v>50447</v>
      </c>
      <c r="I1480" s="331">
        <v>0</v>
      </c>
      <c r="J1480" s="331">
        <f t="shared" si="47"/>
        <v>50447</v>
      </c>
      <c r="K1480" s="199">
        <v>1.9</v>
      </c>
      <c r="L1480" s="199">
        <v>2.1</v>
      </c>
    </row>
    <row r="1481" spans="1:12" ht="15" customHeight="1" x14ac:dyDescent="0.25">
      <c r="A1481" s="49">
        <v>1983</v>
      </c>
      <c r="B1481" s="330" t="s">
        <v>43</v>
      </c>
      <c r="C1481" s="331">
        <v>13495936711</v>
      </c>
      <c r="D1481" s="331">
        <v>6457414911</v>
      </c>
      <c r="E1481" s="331">
        <v>127888375</v>
      </c>
      <c r="F1481" s="331">
        <v>150363</v>
      </c>
      <c r="G1481" s="332">
        <f t="shared" si="46"/>
        <v>1.1141353373230116E-5</v>
      </c>
      <c r="H1481" s="331">
        <v>19127</v>
      </c>
      <c r="I1481" s="331">
        <v>0</v>
      </c>
      <c r="J1481" s="331">
        <f t="shared" si="47"/>
        <v>19127</v>
      </c>
      <c r="K1481" s="199">
        <v>1.98</v>
      </c>
      <c r="L1481" s="199">
        <v>2.1</v>
      </c>
    </row>
    <row r="1482" spans="1:12" ht="15" customHeight="1" x14ac:dyDescent="0.25">
      <c r="A1482" s="49">
        <v>1984</v>
      </c>
      <c r="B1482" s="330" t="s">
        <v>43</v>
      </c>
      <c r="C1482" s="331">
        <v>15106918796</v>
      </c>
      <c r="D1482" s="331">
        <v>7027395784</v>
      </c>
      <c r="E1482" s="331">
        <v>149086920</v>
      </c>
      <c r="F1482" s="331">
        <v>107144</v>
      </c>
      <c r="G1482" s="332">
        <f t="shared" si="46"/>
        <v>7.0923794220943003E-6</v>
      </c>
      <c r="H1482" s="331">
        <v>64674</v>
      </c>
      <c r="I1482" s="331">
        <v>0</v>
      </c>
      <c r="J1482" s="331">
        <f t="shared" si="47"/>
        <v>64674</v>
      </c>
      <c r="K1482" s="199">
        <v>2.12</v>
      </c>
      <c r="L1482" s="199">
        <v>2.1</v>
      </c>
    </row>
    <row r="1483" spans="1:12" ht="15" customHeight="1" x14ac:dyDescent="0.25">
      <c r="A1483" s="49">
        <v>1985</v>
      </c>
      <c r="B1483" s="330" t="s">
        <v>43</v>
      </c>
      <c r="C1483" s="331">
        <v>16008633624</v>
      </c>
      <c r="D1483" s="331">
        <v>7194364146</v>
      </c>
      <c r="E1483" s="331">
        <v>151846846</v>
      </c>
      <c r="F1483" s="331">
        <v>141387</v>
      </c>
      <c r="G1483" s="332">
        <f t="shared" si="46"/>
        <v>8.8319217817586809E-6</v>
      </c>
      <c r="H1483" s="331">
        <v>82597</v>
      </c>
      <c r="I1483" s="331">
        <v>0</v>
      </c>
      <c r="J1483" s="331">
        <f t="shared" si="47"/>
        <v>82597</v>
      </c>
      <c r="K1483" s="199">
        <v>2.11</v>
      </c>
      <c r="L1483" s="199">
        <v>2.1</v>
      </c>
    </row>
    <row r="1484" spans="1:12" ht="15" customHeight="1" x14ac:dyDescent="0.25">
      <c r="A1484" s="49">
        <v>1986</v>
      </c>
      <c r="B1484" s="330" t="s">
        <v>43</v>
      </c>
      <c r="C1484" s="331">
        <v>17078396399</v>
      </c>
      <c r="D1484" s="331">
        <v>7447281255</v>
      </c>
      <c r="E1484" s="331">
        <v>149864436</v>
      </c>
      <c r="F1484" s="331">
        <v>110371</v>
      </c>
      <c r="G1484" s="332">
        <f t="shared" si="46"/>
        <v>6.4626091010782841E-6</v>
      </c>
      <c r="H1484" s="331">
        <v>131595</v>
      </c>
      <c r="I1484" s="331">
        <v>0</v>
      </c>
      <c r="J1484" s="331">
        <f t="shared" si="47"/>
        <v>131595</v>
      </c>
      <c r="K1484" s="199">
        <v>2.0099999999999998</v>
      </c>
      <c r="L1484" s="199">
        <v>2.1</v>
      </c>
    </row>
    <row r="1485" spans="1:12" ht="15" customHeight="1" x14ac:dyDescent="0.25">
      <c r="A1485" s="49">
        <v>1987</v>
      </c>
      <c r="B1485" s="330" t="s">
        <v>43</v>
      </c>
      <c r="C1485" s="331">
        <v>18561035790</v>
      </c>
      <c r="D1485" s="331">
        <v>7868866469</v>
      </c>
      <c r="E1485" s="331">
        <v>156650931</v>
      </c>
      <c r="F1485" s="331">
        <v>86379</v>
      </c>
      <c r="G1485" s="332">
        <f t="shared" si="46"/>
        <v>4.6537812316776963E-6</v>
      </c>
      <c r="H1485" s="331">
        <v>215202</v>
      </c>
      <c r="I1485" s="331">
        <v>0</v>
      </c>
      <c r="J1485" s="331">
        <f t="shared" si="47"/>
        <v>215202</v>
      </c>
      <c r="K1485" s="199">
        <v>1.99</v>
      </c>
      <c r="L1485" s="199">
        <v>2.1</v>
      </c>
    </row>
    <row r="1486" spans="1:12" ht="15" customHeight="1" x14ac:dyDescent="0.25">
      <c r="A1486" s="49">
        <v>1988</v>
      </c>
      <c r="B1486" s="330" t="s">
        <v>43</v>
      </c>
      <c r="C1486" s="331">
        <v>20309506053</v>
      </c>
      <c r="D1486" s="331">
        <v>8353009749</v>
      </c>
      <c r="E1486" s="331">
        <v>162009989</v>
      </c>
      <c r="F1486" s="331">
        <v>80820</v>
      </c>
      <c r="G1486" s="332">
        <f t="shared" si="46"/>
        <v>3.9794173127150844E-6</v>
      </c>
      <c r="H1486" s="331">
        <v>319969</v>
      </c>
      <c r="I1486" s="331">
        <v>0</v>
      </c>
      <c r="J1486" s="331">
        <f t="shared" si="47"/>
        <v>319969</v>
      </c>
      <c r="K1486" s="199">
        <v>1.94</v>
      </c>
      <c r="L1486" s="199">
        <v>2.1</v>
      </c>
    </row>
    <row r="1487" spans="1:12" ht="15" customHeight="1" x14ac:dyDescent="0.25">
      <c r="A1487" s="49">
        <v>1989</v>
      </c>
      <c r="B1487" s="330" t="s">
        <v>43</v>
      </c>
      <c r="C1487" s="331">
        <v>21835984622</v>
      </c>
      <c r="D1487" s="331">
        <v>8740884047</v>
      </c>
      <c r="E1487" s="331">
        <v>166876760</v>
      </c>
      <c r="F1487" s="331">
        <v>102390</v>
      </c>
      <c r="G1487" s="332">
        <f t="shared" si="46"/>
        <v>4.6890489150116416E-6</v>
      </c>
      <c r="H1487" s="331">
        <v>414971</v>
      </c>
      <c r="I1487" s="331">
        <v>0</v>
      </c>
      <c r="J1487" s="331">
        <f t="shared" si="47"/>
        <v>414971</v>
      </c>
      <c r="K1487" s="199">
        <v>1.91</v>
      </c>
      <c r="L1487" s="199">
        <v>2.1</v>
      </c>
    </row>
    <row r="1488" spans="1:12" ht="15" customHeight="1" x14ac:dyDescent="0.25">
      <c r="A1488" s="49">
        <v>1990</v>
      </c>
      <c r="B1488" s="330" t="s">
        <v>43</v>
      </c>
      <c r="C1488" s="331">
        <v>23510933291</v>
      </c>
      <c r="D1488" s="331">
        <v>8973374561</v>
      </c>
      <c r="E1488" s="331">
        <v>167041280</v>
      </c>
      <c r="F1488" s="331">
        <v>132339</v>
      </c>
      <c r="G1488" s="332">
        <f t="shared" si="46"/>
        <v>5.6288280163960762E-6</v>
      </c>
      <c r="H1488" s="331">
        <v>490361</v>
      </c>
      <c r="I1488" s="331">
        <v>0</v>
      </c>
      <c r="J1488" s="331">
        <f t="shared" si="47"/>
        <v>490361</v>
      </c>
      <c r="K1488" s="199">
        <v>1.86</v>
      </c>
      <c r="L1488" s="199">
        <v>2.1</v>
      </c>
    </row>
    <row r="1489" spans="1:12" ht="15" customHeight="1" x14ac:dyDescent="0.25">
      <c r="A1489" s="49">
        <v>1991</v>
      </c>
      <c r="B1489" s="330" t="s">
        <v>43</v>
      </c>
      <c r="C1489" s="331">
        <v>23698781847</v>
      </c>
      <c r="D1489" s="331">
        <v>8733420939</v>
      </c>
      <c r="E1489" s="331">
        <v>158340138</v>
      </c>
      <c r="F1489" s="331">
        <v>234323</v>
      </c>
      <c r="G1489" s="332">
        <f t="shared" si="46"/>
        <v>9.8875546225454053E-6</v>
      </c>
      <c r="H1489" s="331">
        <v>455097</v>
      </c>
      <c r="I1489" s="331">
        <v>0</v>
      </c>
      <c r="J1489" s="331">
        <f t="shared" si="47"/>
        <v>455097</v>
      </c>
      <c r="K1489" s="199">
        <v>1.81</v>
      </c>
      <c r="L1489" s="199">
        <v>2.1</v>
      </c>
    </row>
    <row r="1490" spans="1:12" ht="15" customHeight="1" x14ac:dyDescent="0.25">
      <c r="A1490" s="49">
        <v>1992</v>
      </c>
      <c r="B1490" s="330" t="s">
        <v>43</v>
      </c>
      <c r="C1490" s="331">
        <v>25072725870</v>
      </c>
      <c r="D1490" s="331">
        <v>8812031425</v>
      </c>
      <c r="E1490" s="331">
        <v>159753027</v>
      </c>
      <c r="F1490" s="331">
        <v>212344</v>
      </c>
      <c r="G1490" s="332">
        <f t="shared" si="46"/>
        <v>8.4691230263907476E-6</v>
      </c>
      <c r="H1490" s="331">
        <v>433442</v>
      </c>
      <c r="I1490" s="331">
        <v>0</v>
      </c>
      <c r="J1490" s="331">
        <f t="shared" si="47"/>
        <v>433442</v>
      </c>
      <c r="K1490" s="199">
        <v>1.81</v>
      </c>
      <c r="L1490" s="199">
        <v>2.1</v>
      </c>
    </row>
    <row r="1491" spans="1:12" ht="15" customHeight="1" x14ac:dyDescent="0.25">
      <c r="A1491" s="49">
        <v>1993</v>
      </c>
      <c r="B1491" s="330" t="s">
        <v>43</v>
      </c>
      <c r="C1491" s="331">
        <v>26357910999</v>
      </c>
      <c r="D1491" s="331">
        <v>9135131730</v>
      </c>
      <c r="E1491" s="331">
        <v>169347871</v>
      </c>
      <c r="F1491" s="331">
        <v>169408</v>
      </c>
      <c r="G1491" s="332">
        <f t="shared" si="46"/>
        <v>6.4272164818534831E-6</v>
      </c>
      <c r="H1491" s="331">
        <v>467494</v>
      </c>
      <c r="I1491" s="331">
        <v>0</v>
      </c>
      <c r="J1491" s="331">
        <f t="shared" si="47"/>
        <v>467494</v>
      </c>
      <c r="K1491" s="199">
        <v>1.85</v>
      </c>
      <c r="L1491" s="199">
        <v>2.1</v>
      </c>
    </row>
    <row r="1492" spans="1:12" ht="15" customHeight="1" x14ac:dyDescent="0.25">
      <c r="A1492" s="49">
        <v>1994</v>
      </c>
      <c r="B1492" s="330" t="s">
        <v>43</v>
      </c>
      <c r="C1492" s="331">
        <v>28001752857</v>
      </c>
      <c r="D1492" s="331">
        <v>9580542109</v>
      </c>
      <c r="E1492" s="331">
        <v>179881583</v>
      </c>
      <c r="F1492" s="331">
        <v>173536</v>
      </c>
      <c r="G1492" s="332">
        <f t="shared" si="46"/>
        <v>6.1973263204706383E-6</v>
      </c>
      <c r="H1492" s="331">
        <v>502237</v>
      </c>
      <c r="I1492" s="331">
        <v>0</v>
      </c>
      <c r="J1492" s="331">
        <f t="shared" si="47"/>
        <v>502237</v>
      </c>
      <c r="K1492" s="199">
        <v>1.88</v>
      </c>
      <c r="L1492" s="199">
        <v>2.1</v>
      </c>
    </row>
    <row r="1493" spans="1:12" ht="15" customHeight="1" x14ac:dyDescent="0.25">
      <c r="A1493" s="49">
        <v>1995</v>
      </c>
      <c r="B1493" s="330" t="s">
        <v>43</v>
      </c>
      <c r="C1493" s="331">
        <v>30176063195</v>
      </c>
      <c r="D1493" s="331">
        <v>10073145802</v>
      </c>
      <c r="E1493" s="331">
        <v>190982386</v>
      </c>
      <c r="F1493" s="331">
        <v>170827</v>
      </c>
      <c r="G1493" s="332">
        <f t="shared" si="46"/>
        <v>5.6610101488753862E-6</v>
      </c>
      <c r="H1493" s="331">
        <v>556650</v>
      </c>
      <c r="I1493" s="331">
        <v>0</v>
      </c>
      <c r="J1493" s="331">
        <f t="shared" si="47"/>
        <v>556650</v>
      </c>
      <c r="K1493" s="199">
        <v>1.9</v>
      </c>
      <c r="L1493" s="199">
        <v>1.53</v>
      </c>
    </row>
    <row r="1494" spans="1:12" ht="15" customHeight="1" x14ac:dyDescent="0.25">
      <c r="A1494" s="49">
        <v>1996</v>
      </c>
      <c r="B1494" s="330" t="s">
        <v>43</v>
      </c>
      <c r="C1494" s="331">
        <v>31873065263</v>
      </c>
      <c r="D1494" s="331">
        <v>10435655083</v>
      </c>
      <c r="E1494" s="331">
        <v>198777147</v>
      </c>
      <c r="F1494" s="331">
        <v>192220</v>
      </c>
      <c r="G1494" s="332">
        <f t="shared" si="46"/>
        <v>6.0307974276681667E-6</v>
      </c>
      <c r="H1494" s="331">
        <v>603410</v>
      </c>
      <c r="I1494" s="331">
        <v>0</v>
      </c>
      <c r="J1494" s="331">
        <f t="shared" si="47"/>
        <v>603410</v>
      </c>
      <c r="K1494" s="199">
        <v>1.9</v>
      </c>
      <c r="L1494" s="199">
        <v>1.47</v>
      </c>
    </row>
    <row r="1495" spans="1:12" ht="15" customHeight="1" x14ac:dyDescent="0.25">
      <c r="A1495" s="49">
        <v>1997</v>
      </c>
      <c r="B1495" s="330" t="s">
        <v>43</v>
      </c>
      <c r="C1495" s="331">
        <v>34192824222</v>
      </c>
      <c r="D1495" s="331">
        <v>10907220655</v>
      </c>
      <c r="E1495" s="331">
        <v>206669001</v>
      </c>
      <c r="F1495" s="331">
        <v>162054</v>
      </c>
      <c r="G1495" s="332">
        <f t="shared" si="46"/>
        <v>4.7394154676387588E-6</v>
      </c>
      <c r="H1495" s="331">
        <v>687060</v>
      </c>
      <c r="I1495" s="331">
        <v>0</v>
      </c>
      <c r="J1495" s="331">
        <f t="shared" si="47"/>
        <v>687060</v>
      </c>
      <c r="K1495" s="199">
        <v>1.89</v>
      </c>
      <c r="L1495" s="199">
        <v>1.47</v>
      </c>
    </row>
    <row r="1496" spans="1:12" ht="15" customHeight="1" x14ac:dyDescent="0.25">
      <c r="A1496" s="49">
        <v>1998</v>
      </c>
      <c r="B1496" s="330" t="s">
        <v>43</v>
      </c>
      <c r="C1496" s="331">
        <v>36956326391</v>
      </c>
      <c r="D1496" s="331">
        <v>11432856313</v>
      </c>
      <c r="E1496" s="331">
        <v>156244367</v>
      </c>
      <c r="F1496" s="331">
        <v>157753</v>
      </c>
      <c r="G1496" s="332">
        <f t="shared" si="46"/>
        <v>4.268633151763096E-6</v>
      </c>
      <c r="H1496" s="331">
        <v>734456</v>
      </c>
      <c r="I1496" s="331">
        <v>0</v>
      </c>
      <c r="J1496" s="331">
        <f t="shared" si="47"/>
        <v>734456</v>
      </c>
      <c r="K1496" s="199">
        <v>1.37</v>
      </c>
      <c r="L1496" s="199">
        <v>1.47</v>
      </c>
    </row>
    <row r="1497" spans="1:12" ht="15" customHeight="1" x14ac:dyDescent="0.25">
      <c r="A1497" s="49">
        <v>1999</v>
      </c>
      <c r="B1497" s="330" t="s">
        <v>43</v>
      </c>
      <c r="C1497" s="331">
        <v>39175529073</v>
      </c>
      <c r="D1497" s="331">
        <v>11899481514</v>
      </c>
      <c r="E1497" s="331">
        <v>163405567</v>
      </c>
      <c r="F1497" s="331">
        <v>188037</v>
      </c>
      <c r="G1497" s="332">
        <f t="shared" si="46"/>
        <v>4.7998585966665647E-6</v>
      </c>
      <c r="H1497" s="331">
        <v>753909</v>
      </c>
      <c r="I1497" s="331">
        <v>0</v>
      </c>
      <c r="J1497" s="331">
        <f t="shared" si="47"/>
        <v>753909</v>
      </c>
      <c r="K1497" s="199">
        <v>1.37</v>
      </c>
      <c r="L1497" s="199">
        <v>1.47</v>
      </c>
    </row>
    <row r="1498" spans="1:12" ht="15" customHeight="1" x14ac:dyDescent="0.25">
      <c r="A1498" s="49">
        <v>2000</v>
      </c>
      <c r="B1498" s="330" t="s">
        <v>43</v>
      </c>
      <c r="C1498" s="331">
        <v>41189510577</v>
      </c>
      <c r="D1498" s="331">
        <v>12137102055</v>
      </c>
      <c r="E1498" s="331">
        <v>169325535</v>
      </c>
      <c r="F1498" s="331">
        <v>196634</v>
      </c>
      <c r="G1498" s="332">
        <f t="shared" si="46"/>
        <v>4.7738853228763387E-6</v>
      </c>
      <c r="H1498" s="331">
        <v>782242</v>
      </c>
      <c r="I1498" s="331">
        <v>0</v>
      </c>
      <c r="J1498" s="331">
        <f t="shared" si="47"/>
        <v>782242</v>
      </c>
      <c r="K1498" s="199">
        <v>1.4</v>
      </c>
      <c r="L1498" s="199">
        <v>1.47</v>
      </c>
    </row>
    <row r="1499" spans="1:12" ht="15" customHeight="1" x14ac:dyDescent="0.25">
      <c r="A1499" s="49">
        <v>2001</v>
      </c>
      <c r="B1499" s="330" t="s">
        <v>43</v>
      </c>
      <c r="C1499" s="331">
        <v>41666519478</v>
      </c>
      <c r="D1499" s="331">
        <v>11705908213</v>
      </c>
      <c r="E1499" s="331">
        <v>162610338</v>
      </c>
      <c r="F1499" s="331">
        <v>374324</v>
      </c>
      <c r="G1499" s="332">
        <f t="shared" si="46"/>
        <v>8.9838077355523723E-6</v>
      </c>
      <c r="H1499" s="331">
        <v>627217</v>
      </c>
      <c r="I1499" s="331">
        <v>0</v>
      </c>
      <c r="J1499" s="331">
        <f t="shared" si="47"/>
        <v>627217</v>
      </c>
      <c r="K1499" s="199">
        <v>1.39</v>
      </c>
      <c r="L1499" s="199">
        <v>1.46</v>
      </c>
    </row>
    <row r="1500" spans="1:12" ht="15" customHeight="1" x14ac:dyDescent="0.25">
      <c r="A1500" s="49">
        <v>2002</v>
      </c>
      <c r="B1500" s="330" t="s">
        <v>43</v>
      </c>
      <c r="C1500" s="331">
        <v>41983707910</v>
      </c>
      <c r="D1500" s="331">
        <v>11478661483</v>
      </c>
      <c r="E1500" s="331">
        <v>185151481</v>
      </c>
      <c r="F1500" s="331">
        <v>410218</v>
      </c>
      <c r="G1500" s="332">
        <f t="shared" si="46"/>
        <v>9.7708854320199565E-6</v>
      </c>
      <c r="H1500" s="331">
        <v>528944</v>
      </c>
      <c r="I1500" s="331">
        <v>0</v>
      </c>
      <c r="J1500" s="331">
        <f t="shared" si="47"/>
        <v>528944</v>
      </c>
      <c r="K1500" s="199">
        <v>1.61</v>
      </c>
      <c r="L1500" s="199">
        <v>1.46</v>
      </c>
    </row>
    <row r="1501" spans="1:12" ht="15" customHeight="1" x14ac:dyDescent="0.25">
      <c r="A1501" s="49">
        <v>2003</v>
      </c>
      <c r="B1501" s="330" t="s">
        <v>43</v>
      </c>
      <c r="C1501" s="331">
        <v>42977315927</v>
      </c>
      <c r="D1501" s="331">
        <v>11484983939</v>
      </c>
      <c r="E1501" s="331">
        <v>228120319</v>
      </c>
      <c r="F1501" s="331">
        <v>401843</v>
      </c>
      <c r="G1501" s="332">
        <f t="shared" si="46"/>
        <v>9.3501185761009054E-6</v>
      </c>
      <c r="H1501" s="331">
        <v>373232</v>
      </c>
      <c r="I1501" s="331">
        <v>0</v>
      </c>
      <c r="J1501" s="331">
        <f t="shared" si="47"/>
        <v>373232</v>
      </c>
      <c r="K1501" s="199">
        <v>1.99</v>
      </c>
      <c r="L1501" s="199">
        <v>1.46</v>
      </c>
    </row>
    <row r="1502" spans="1:12" ht="15" customHeight="1" x14ac:dyDescent="0.25">
      <c r="A1502" s="49">
        <v>2004</v>
      </c>
      <c r="B1502" s="330" t="s">
        <v>43</v>
      </c>
      <c r="C1502" s="331">
        <v>45150098076</v>
      </c>
      <c r="D1502" s="331">
        <v>11796379146</v>
      </c>
      <c r="E1502" s="331">
        <v>263211121</v>
      </c>
      <c r="F1502" s="331">
        <v>336315</v>
      </c>
      <c r="G1502" s="332">
        <f t="shared" si="46"/>
        <v>7.4488210287802607E-6</v>
      </c>
      <c r="H1502" s="331">
        <v>308571</v>
      </c>
      <c r="I1502" s="331">
        <v>0</v>
      </c>
      <c r="J1502" s="331">
        <f t="shared" si="47"/>
        <v>308571</v>
      </c>
      <c r="K1502" s="199">
        <v>2.23</v>
      </c>
      <c r="L1502" s="199">
        <v>1.46</v>
      </c>
    </row>
    <row r="1503" spans="1:12" ht="15" customHeight="1" x14ac:dyDescent="0.25">
      <c r="A1503" s="49">
        <v>2005</v>
      </c>
      <c r="B1503" s="330" t="s">
        <v>43</v>
      </c>
      <c r="C1503" s="331">
        <v>47462625289</v>
      </c>
      <c r="D1503" s="331">
        <v>12047705534</v>
      </c>
      <c r="E1503" s="331">
        <v>268596960</v>
      </c>
      <c r="F1503" s="331">
        <v>321083</v>
      </c>
      <c r="G1503" s="332">
        <f t="shared" si="46"/>
        <v>6.7649650234247501E-6</v>
      </c>
      <c r="H1503" s="331">
        <v>276459</v>
      </c>
      <c r="I1503" s="331">
        <v>0</v>
      </c>
      <c r="J1503" s="331">
        <f t="shared" si="47"/>
        <v>276459</v>
      </c>
      <c r="K1503" s="199">
        <v>2.23</v>
      </c>
      <c r="L1503" s="199">
        <v>1.46</v>
      </c>
    </row>
    <row r="1504" spans="1:12" ht="15" customHeight="1" x14ac:dyDescent="0.25">
      <c r="A1504" s="49">
        <v>2006</v>
      </c>
      <c r="B1504" s="330" t="s">
        <v>43</v>
      </c>
      <c r="C1504" s="331">
        <v>50508860844</v>
      </c>
      <c r="D1504" s="331">
        <v>12571992414</v>
      </c>
      <c r="E1504" s="331">
        <v>277781129</v>
      </c>
      <c r="F1504" s="331">
        <v>311280</v>
      </c>
      <c r="G1504" s="332">
        <f t="shared" si="46"/>
        <v>6.1628790433704128E-6</v>
      </c>
      <c r="H1504" s="331">
        <v>251315</v>
      </c>
      <c r="I1504" s="331">
        <v>0</v>
      </c>
      <c r="J1504" s="331">
        <f t="shared" si="47"/>
        <v>251315</v>
      </c>
      <c r="K1504" s="199">
        <v>2.21</v>
      </c>
      <c r="L1504" s="199">
        <v>1.46</v>
      </c>
    </row>
    <row r="1505" spans="1:12" ht="15" customHeight="1" x14ac:dyDescent="0.25">
      <c r="A1505" s="49">
        <v>2007</v>
      </c>
      <c r="B1505" s="330" t="s">
        <v>43</v>
      </c>
      <c r="C1505" s="331">
        <v>52904193412</v>
      </c>
      <c r="D1505" s="331">
        <v>12814763962</v>
      </c>
      <c r="E1505" s="331">
        <v>275868381</v>
      </c>
      <c r="F1505" s="331">
        <v>339400</v>
      </c>
      <c r="G1505" s="332">
        <f t="shared" si="46"/>
        <v>6.4153704670793748E-6</v>
      </c>
      <c r="H1505" s="331">
        <v>199183</v>
      </c>
      <c r="I1505" s="331">
        <v>0</v>
      </c>
      <c r="J1505" s="331">
        <f t="shared" si="47"/>
        <v>199183</v>
      </c>
      <c r="K1505" s="199">
        <v>2.15</v>
      </c>
      <c r="L1505" s="199">
        <v>1.46</v>
      </c>
    </row>
    <row r="1506" spans="1:12" x14ac:dyDescent="0.25">
      <c r="A1506" s="49">
        <v>2008</v>
      </c>
      <c r="B1506" s="330" t="s">
        <v>43</v>
      </c>
      <c r="C1506" s="331">
        <v>52960870226</v>
      </c>
      <c r="D1506" s="331">
        <v>12415340068</v>
      </c>
      <c r="E1506" s="331">
        <v>259380139</v>
      </c>
      <c r="F1506" s="331">
        <v>474040</v>
      </c>
      <c r="G1506" s="332">
        <f t="shared" si="46"/>
        <v>8.9507592676843938E-6</v>
      </c>
      <c r="H1506" s="331">
        <v>754</v>
      </c>
      <c r="I1506" s="331">
        <v>15000</v>
      </c>
      <c r="J1506" s="331">
        <f t="shared" si="47"/>
        <v>-14246</v>
      </c>
      <c r="K1506" s="199">
        <v>2.1</v>
      </c>
      <c r="L1506" s="199">
        <v>1.46</v>
      </c>
    </row>
    <row r="1507" spans="1:12" ht="15" customHeight="1" x14ac:dyDescent="0.25">
      <c r="A1507" s="49">
        <v>2009</v>
      </c>
      <c r="B1507" s="330" t="s">
        <v>43</v>
      </c>
      <c r="C1507" s="331">
        <v>49440443007</v>
      </c>
      <c r="D1507" s="331">
        <v>11273156656</v>
      </c>
      <c r="E1507" s="331">
        <v>232118821</v>
      </c>
      <c r="F1507" s="331">
        <v>910924</v>
      </c>
      <c r="G1507" s="332">
        <f t="shared" si="46"/>
        <v>1.8424673093463732E-5</v>
      </c>
      <c r="H1507" s="331">
        <v>9963</v>
      </c>
      <c r="I1507" s="331">
        <v>692037</v>
      </c>
      <c r="J1507" s="331">
        <f t="shared" si="47"/>
        <v>-682074</v>
      </c>
      <c r="K1507" s="199">
        <v>2.1</v>
      </c>
      <c r="L1507" s="199">
        <v>1.27</v>
      </c>
    </row>
    <row r="1508" spans="1:12" ht="15" customHeight="1" x14ac:dyDescent="0.25">
      <c r="A1508" s="49">
        <v>2010</v>
      </c>
      <c r="B1508" s="330" t="s">
        <v>43</v>
      </c>
      <c r="C1508" s="331">
        <v>50564787924</v>
      </c>
      <c r="D1508" s="331">
        <v>11331121006</v>
      </c>
      <c r="E1508" s="331">
        <v>260816123</v>
      </c>
      <c r="F1508" s="331">
        <v>547335</v>
      </c>
      <c r="G1508" s="332">
        <f t="shared" si="46"/>
        <v>1.0824429854677857E-5</v>
      </c>
      <c r="H1508" s="331">
        <v>6990</v>
      </c>
      <c r="I1508" s="331">
        <v>886662</v>
      </c>
      <c r="J1508" s="331">
        <f t="shared" si="47"/>
        <v>-879672</v>
      </c>
      <c r="K1508" s="199">
        <v>2.2999999999999998</v>
      </c>
      <c r="L1508" s="199">
        <v>1.3</v>
      </c>
    </row>
    <row r="1509" spans="1:12" ht="15" customHeight="1" x14ac:dyDescent="0.25">
      <c r="A1509" s="49">
        <v>2011</v>
      </c>
      <c r="B1509" s="330" t="s">
        <v>43</v>
      </c>
      <c r="C1509" s="331">
        <v>52837834386</v>
      </c>
      <c r="D1509" s="331">
        <v>14912809724</v>
      </c>
      <c r="E1509" s="331">
        <v>514159413</v>
      </c>
      <c r="F1509" s="331">
        <v>422816</v>
      </c>
      <c r="G1509" s="332">
        <f t="shared" si="46"/>
        <v>8.0021447682956134E-6</v>
      </c>
      <c r="H1509" s="331">
        <v>122151</v>
      </c>
      <c r="I1509" s="331">
        <v>782489</v>
      </c>
      <c r="J1509" s="331">
        <f t="shared" si="47"/>
        <v>-660338</v>
      </c>
      <c r="K1509" s="199">
        <v>3.4</v>
      </c>
      <c r="L1509" s="199">
        <v>1.3</v>
      </c>
    </row>
    <row r="1510" spans="1:12" ht="15" customHeight="1" x14ac:dyDescent="0.25">
      <c r="A1510" s="49">
        <v>2012</v>
      </c>
      <c r="B1510" s="330" t="s">
        <v>43</v>
      </c>
      <c r="C1510" s="331">
        <v>55085833172</v>
      </c>
      <c r="D1510" s="331">
        <v>17982643020</v>
      </c>
      <c r="E1510" s="331">
        <v>474495987</v>
      </c>
      <c r="F1510" s="331">
        <v>304324</v>
      </c>
      <c r="G1510" s="332">
        <f t="shared" si="46"/>
        <v>5.5245420188123283E-6</v>
      </c>
      <c r="H1510" s="331">
        <v>210738</v>
      </c>
      <c r="I1510" s="331">
        <v>675598</v>
      </c>
      <c r="J1510" s="331">
        <f t="shared" si="47"/>
        <v>-464860</v>
      </c>
      <c r="K1510" s="199">
        <v>2.64</v>
      </c>
      <c r="L1510" s="199">
        <v>1.3</v>
      </c>
    </row>
    <row r="1511" spans="1:12" ht="15" customHeight="1" x14ac:dyDescent="0.25">
      <c r="A1511" s="49">
        <v>2013</v>
      </c>
      <c r="B1511" s="330" t="s">
        <v>43</v>
      </c>
      <c r="C1511" s="331">
        <v>57005196129</v>
      </c>
      <c r="D1511" s="331">
        <v>18623898151</v>
      </c>
      <c r="E1511" s="331">
        <v>473618194</v>
      </c>
      <c r="F1511" s="331">
        <v>248809</v>
      </c>
      <c r="G1511" s="332">
        <f t="shared" si="46"/>
        <v>4.3646722912233697E-6</v>
      </c>
      <c r="H1511" s="331">
        <v>179947</v>
      </c>
      <c r="I1511" s="331">
        <v>456512</v>
      </c>
      <c r="J1511" s="331">
        <f t="shared" si="47"/>
        <v>-276565</v>
      </c>
      <c r="K1511" s="199">
        <v>2.54</v>
      </c>
      <c r="L1511" s="199">
        <v>1.3</v>
      </c>
    </row>
    <row r="1512" spans="1:12" ht="15" customHeight="1" x14ac:dyDescent="0.25">
      <c r="A1512" s="49">
        <v>2014</v>
      </c>
      <c r="B1512" s="330" t="s">
        <v>43</v>
      </c>
      <c r="C1512" s="331">
        <v>60259296239</v>
      </c>
      <c r="D1512" s="331">
        <v>19428645932</v>
      </c>
      <c r="E1512" s="331">
        <v>471553874</v>
      </c>
      <c r="F1512" s="331">
        <v>192544</v>
      </c>
      <c r="G1512" s="332">
        <f t="shared" si="46"/>
        <v>3.1952580268500536E-6</v>
      </c>
      <c r="H1512" s="331">
        <v>191098</v>
      </c>
      <c r="I1512" s="331">
        <v>195489</v>
      </c>
      <c r="J1512" s="331">
        <f t="shared" si="47"/>
        <v>-4391</v>
      </c>
      <c r="K1512" s="333">
        <v>2.4271062206312899</v>
      </c>
      <c r="L1512" s="199">
        <v>1.3</v>
      </c>
    </row>
    <row r="1513" spans="1:12" ht="15" customHeight="1" x14ac:dyDescent="0.25">
      <c r="A1513" s="49">
        <v>2015</v>
      </c>
      <c r="B1513" s="330" t="s">
        <v>43</v>
      </c>
      <c r="C1513" s="334">
        <v>64008800000</v>
      </c>
      <c r="D1513" s="334">
        <v>22544752000</v>
      </c>
      <c r="E1513" s="334">
        <v>436755000</v>
      </c>
      <c r="F1513" s="331">
        <v>166876</v>
      </c>
      <c r="G1513" s="332">
        <f t="shared" si="46"/>
        <v>2.6070790266338376E-6</v>
      </c>
      <c r="H1513" s="331">
        <v>307378</v>
      </c>
      <c r="I1513" s="199">
        <v>0</v>
      </c>
      <c r="J1513" s="331">
        <f t="shared" si="47"/>
        <v>307378</v>
      </c>
      <c r="K1513" s="199">
        <v>1.9</v>
      </c>
      <c r="L1513" s="199">
        <v>1.3</v>
      </c>
    </row>
    <row r="1514" spans="1:12" ht="15" customHeight="1" x14ac:dyDescent="0.25">
      <c r="A1514" s="49">
        <v>1980</v>
      </c>
      <c r="B1514" s="330" t="s">
        <v>44</v>
      </c>
      <c r="C1514" s="331">
        <v>1806564909</v>
      </c>
      <c r="D1514" s="331">
        <v>911720937</v>
      </c>
      <c r="E1514" s="331">
        <v>9783010</v>
      </c>
      <c r="F1514" s="331">
        <v>16584</v>
      </c>
      <c r="G1514" s="332">
        <f t="shared" si="46"/>
        <v>9.1798528341723701E-6</v>
      </c>
      <c r="H1514" s="331">
        <v>11141</v>
      </c>
      <c r="I1514" s="331">
        <v>0</v>
      </c>
      <c r="J1514" s="331">
        <f t="shared" si="47"/>
        <v>11141</v>
      </c>
      <c r="K1514" s="199">
        <v>1.07</v>
      </c>
      <c r="L1514" s="199">
        <v>0.99</v>
      </c>
    </row>
    <row r="1515" spans="1:12" ht="15" customHeight="1" x14ac:dyDescent="0.25">
      <c r="A1515" s="49">
        <v>1981</v>
      </c>
      <c r="B1515" s="330" t="s">
        <v>44</v>
      </c>
      <c r="C1515" s="331">
        <v>1928085891</v>
      </c>
      <c r="D1515" s="331">
        <v>919522899</v>
      </c>
      <c r="E1515" s="331">
        <v>11547086</v>
      </c>
      <c r="F1515" s="331">
        <v>15025</v>
      </c>
      <c r="G1515" s="332">
        <f t="shared" si="46"/>
        <v>7.7927026332874081E-6</v>
      </c>
      <c r="H1515" s="331">
        <v>10906</v>
      </c>
      <c r="I1515" s="331">
        <v>0</v>
      </c>
      <c r="J1515" s="331">
        <f t="shared" si="47"/>
        <v>10906</v>
      </c>
      <c r="K1515" s="199">
        <v>1.26</v>
      </c>
      <c r="L1515" s="199">
        <v>0.99</v>
      </c>
    </row>
    <row r="1516" spans="1:12" ht="15" customHeight="1" x14ac:dyDescent="0.25">
      <c r="A1516" s="49">
        <v>1982</v>
      </c>
      <c r="B1516" s="330" t="s">
        <v>44</v>
      </c>
      <c r="C1516" s="331">
        <v>1948657707</v>
      </c>
      <c r="D1516" s="331">
        <v>884748889</v>
      </c>
      <c r="E1516" s="331">
        <v>11676260</v>
      </c>
      <c r="F1516" s="331">
        <v>19128</v>
      </c>
      <c r="G1516" s="332">
        <f t="shared" si="46"/>
        <v>9.8159876571899142E-6</v>
      </c>
      <c r="H1516" s="331">
        <v>8554</v>
      </c>
      <c r="I1516" s="331">
        <v>0</v>
      </c>
      <c r="J1516" s="331">
        <f t="shared" si="47"/>
        <v>8554</v>
      </c>
      <c r="K1516" s="199">
        <v>1.32</v>
      </c>
      <c r="L1516" s="199">
        <v>1</v>
      </c>
    </row>
    <row r="1517" spans="1:12" ht="15" customHeight="1" x14ac:dyDescent="0.25">
      <c r="A1517" s="49">
        <v>1983</v>
      </c>
      <c r="B1517" s="330" t="s">
        <v>44</v>
      </c>
      <c r="C1517" s="331">
        <v>2064518815</v>
      </c>
      <c r="D1517" s="331">
        <v>1024271725</v>
      </c>
      <c r="E1517" s="331">
        <v>21572800</v>
      </c>
      <c r="F1517" s="331">
        <v>14882</v>
      </c>
      <c r="G1517" s="332">
        <f t="shared" si="46"/>
        <v>7.2084593716817249E-6</v>
      </c>
      <c r="H1517" s="331">
        <v>15041</v>
      </c>
      <c r="I1517" s="331">
        <v>0</v>
      </c>
      <c r="J1517" s="331">
        <f t="shared" si="47"/>
        <v>15041</v>
      </c>
      <c r="K1517" s="199">
        <v>2.11</v>
      </c>
      <c r="L1517" s="199">
        <v>0.97</v>
      </c>
    </row>
    <row r="1518" spans="1:12" ht="15" customHeight="1" x14ac:dyDescent="0.25">
      <c r="A1518" s="49">
        <v>1984</v>
      </c>
      <c r="B1518" s="330" t="s">
        <v>44</v>
      </c>
      <c r="C1518" s="331">
        <v>2240701468</v>
      </c>
      <c r="D1518" s="331">
        <v>1103065488</v>
      </c>
      <c r="E1518" s="331">
        <v>18496082</v>
      </c>
      <c r="F1518" s="331">
        <v>9266</v>
      </c>
      <c r="G1518" s="332">
        <f t="shared" si="46"/>
        <v>4.1353121477046316E-6</v>
      </c>
      <c r="H1518" s="331">
        <v>27162</v>
      </c>
      <c r="I1518" s="331">
        <v>0</v>
      </c>
      <c r="J1518" s="331">
        <f t="shared" si="47"/>
        <v>27162</v>
      </c>
      <c r="K1518" s="199">
        <v>1.68</v>
      </c>
      <c r="L1518" s="199">
        <v>0.97</v>
      </c>
    </row>
    <row r="1519" spans="1:12" ht="15" customHeight="1" x14ac:dyDescent="0.25">
      <c r="A1519" s="49">
        <v>1985</v>
      </c>
      <c r="B1519" s="330" t="s">
        <v>44</v>
      </c>
      <c r="C1519" s="331">
        <v>2321269108</v>
      </c>
      <c r="D1519" s="331">
        <v>1115029078</v>
      </c>
      <c r="E1519" s="331">
        <v>15957934</v>
      </c>
      <c r="F1519" s="331">
        <v>13887</v>
      </c>
      <c r="G1519" s="332">
        <f t="shared" si="46"/>
        <v>5.9825032574379137E-6</v>
      </c>
      <c r="H1519" s="331">
        <v>33106</v>
      </c>
      <c r="I1519" s="331">
        <v>0</v>
      </c>
      <c r="J1519" s="331">
        <f t="shared" si="47"/>
        <v>33106</v>
      </c>
      <c r="K1519" s="199">
        <v>1.43</v>
      </c>
      <c r="L1519" s="199">
        <v>0.97</v>
      </c>
    </row>
    <row r="1520" spans="1:12" ht="15" customHeight="1" x14ac:dyDescent="0.25">
      <c r="A1520" s="49">
        <v>1986</v>
      </c>
      <c r="B1520" s="330" t="s">
        <v>44</v>
      </c>
      <c r="C1520" s="331">
        <v>2425373022</v>
      </c>
      <c r="D1520" s="331">
        <v>1128039529</v>
      </c>
      <c r="E1520" s="331">
        <v>16207386</v>
      </c>
      <c r="F1520" s="331">
        <v>13962</v>
      </c>
      <c r="G1520" s="332">
        <f t="shared" si="46"/>
        <v>5.7566402666121518E-6</v>
      </c>
      <c r="H1520" s="331">
        <v>38970</v>
      </c>
      <c r="I1520" s="331">
        <v>0</v>
      </c>
      <c r="J1520" s="331">
        <f t="shared" si="47"/>
        <v>38970</v>
      </c>
      <c r="K1520" s="199">
        <v>1.44</v>
      </c>
      <c r="L1520" s="199">
        <v>0.97</v>
      </c>
    </row>
    <row r="1521" spans="1:12" ht="15" customHeight="1" x14ac:dyDescent="0.25">
      <c r="A1521" s="49">
        <v>1987</v>
      </c>
      <c r="B1521" s="330" t="s">
        <v>44</v>
      </c>
      <c r="C1521" s="331">
        <v>2567775906</v>
      </c>
      <c r="D1521" s="331">
        <v>1180713999</v>
      </c>
      <c r="E1521" s="331">
        <v>11289321</v>
      </c>
      <c r="F1521" s="331">
        <v>11852</v>
      </c>
      <c r="G1521" s="332">
        <f t="shared" si="46"/>
        <v>4.6156675792096948E-6</v>
      </c>
      <c r="H1521" s="331">
        <v>43463</v>
      </c>
      <c r="I1521" s="331">
        <v>0</v>
      </c>
      <c r="J1521" s="331">
        <f t="shared" si="47"/>
        <v>43463</v>
      </c>
      <c r="K1521" s="199">
        <v>0.96</v>
      </c>
      <c r="L1521" s="199">
        <v>0.97</v>
      </c>
    </row>
    <row r="1522" spans="1:12" ht="15" customHeight="1" x14ac:dyDescent="0.25">
      <c r="A1522" s="49">
        <v>1988</v>
      </c>
      <c r="B1522" s="330" t="s">
        <v>44</v>
      </c>
      <c r="C1522" s="331">
        <v>2767765681</v>
      </c>
      <c r="D1522" s="331">
        <v>1227452904</v>
      </c>
      <c r="E1522" s="331">
        <v>10394331</v>
      </c>
      <c r="F1522" s="331">
        <v>12808</v>
      </c>
      <c r="G1522" s="332">
        <f t="shared" si="46"/>
        <v>4.6275593659982227E-6</v>
      </c>
      <c r="H1522" s="331">
        <v>45139</v>
      </c>
      <c r="I1522" s="331">
        <v>0</v>
      </c>
      <c r="J1522" s="331">
        <f t="shared" si="47"/>
        <v>45139</v>
      </c>
      <c r="K1522" s="199">
        <v>0.85</v>
      </c>
      <c r="L1522" s="199">
        <v>0.97</v>
      </c>
    </row>
    <row r="1523" spans="1:12" ht="15" customHeight="1" x14ac:dyDescent="0.25">
      <c r="A1523" s="49">
        <v>1989</v>
      </c>
      <c r="B1523" s="330" t="s">
        <v>44</v>
      </c>
      <c r="C1523" s="331">
        <v>2934221287</v>
      </c>
      <c r="D1523" s="331">
        <v>1287347763</v>
      </c>
      <c r="E1523" s="331">
        <v>6821104</v>
      </c>
      <c r="F1523" s="331">
        <v>11174</v>
      </c>
      <c r="G1523" s="332">
        <f t="shared" si="46"/>
        <v>3.8081654064422989E-6</v>
      </c>
      <c r="H1523" s="331">
        <v>45424</v>
      </c>
      <c r="I1523" s="331">
        <v>0</v>
      </c>
      <c r="J1523" s="331">
        <f t="shared" si="47"/>
        <v>45424</v>
      </c>
      <c r="K1523" s="199">
        <v>0.53</v>
      </c>
      <c r="L1523" s="199">
        <v>0.97</v>
      </c>
    </row>
    <row r="1524" spans="1:12" ht="15" customHeight="1" x14ac:dyDescent="0.25">
      <c r="A1524" s="49">
        <v>1990</v>
      </c>
      <c r="B1524" s="330" t="s">
        <v>44</v>
      </c>
      <c r="C1524" s="331">
        <v>3216959613</v>
      </c>
      <c r="D1524" s="331">
        <v>1381299396</v>
      </c>
      <c r="E1524" s="331">
        <v>9079916</v>
      </c>
      <c r="F1524" s="331">
        <v>9618</v>
      </c>
      <c r="G1524" s="332">
        <f t="shared" si="46"/>
        <v>2.9897795300671064E-6</v>
      </c>
      <c r="H1524" s="331">
        <v>48894</v>
      </c>
      <c r="I1524" s="331">
        <v>0</v>
      </c>
      <c r="J1524" s="331">
        <f t="shared" si="47"/>
        <v>48894</v>
      </c>
      <c r="K1524" s="199">
        <v>0.66</v>
      </c>
      <c r="L1524" s="199">
        <v>0.97</v>
      </c>
    </row>
    <row r="1525" spans="1:12" ht="15" customHeight="1" x14ac:dyDescent="0.25">
      <c r="A1525" s="49">
        <v>1991</v>
      </c>
      <c r="B1525" s="330" t="s">
        <v>44</v>
      </c>
      <c r="C1525" s="331">
        <v>3434445255</v>
      </c>
      <c r="D1525" s="331">
        <v>1440009477</v>
      </c>
      <c r="E1525" s="331">
        <v>7458067</v>
      </c>
      <c r="F1525" s="331">
        <v>11304</v>
      </c>
      <c r="G1525" s="332">
        <f t="shared" si="46"/>
        <v>3.291361241977345E-6</v>
      </c>
      <c r="H1525" s="331">
        <v>49701</v>
      </c>
      <c r="I1525" s="331">
        <v>0</v>
      </c>
      <c r="J1525" s="331">
        <f t="shared" si="47"/>
        <v>49701</v>
      </c>
      <c r="K1525" s="199">
        <v>0.52</v>
      </c>
      <c r="L1525" s="199">
        <v>0.97</v>
      </c>
    </row>
    <row r="1526" spans="1:12" ht="15" customHeight="1" x14ac:dyDescent="0.25">
      <c r="A1526" s="49">
        <v>1992</v>
      </c>
      <c r="B1526" s="330" t="s">
        <v>44</v>
      </c>
      <c r="C1526" s="331">
        <v>3765543065</v>
      </c>
      <c r="D1526" s="331">
        <v>1512949880</v>
      </c>
      <c r="E1526" s="331">
        <v>9150016</v>
      </c>
      <c r="F1526" s="331">
        <v>12628</v>
      </c>
      <c r="G1526" s="332">
        <f t="shared" si="46"/>
        <v>3.3535667450931147E-6</v>
      </c>
      <c r="H1526" s="331">
        <v>50416</v>
      </c>
      <c r="I1526" s="331">
        <v>0</v>
      </c>
      <c r="J1526" s="331">
        <f t="shared" si="47"/>
        <v>50416</v>
      </c>
      <c r="K1526" s="199">
        <v>0.6</v>
      </c>
      <c r="L1526" s="199">
        <v>0.97</v>
      </c>
    </row>
    <row r="1527" spans="1:12" ht="15" customHeight="1" x14ac:dyDescent="0.25">
      <c r="A1527" s="49">
        <v>1993</v>
      </c>
      <c r="B1527" s="330" t="s">
        <v>44</v>
      </c>
      <c r="C1527" s="331">
        <v>4041953365</v>
      </c>
      <c r="D1527" s="331">
        <v>1606585106</v>
      </c>
      <c r="E1527" s="331">
        <v>8080808</v>
      </c>
      <c r="F1527" s="331">
        <v>12085</v>
      </c>
      <c r="G1527" s="332">
        <f t="shared" si="46"/>
        <v>2.9898910028616821E-6</v>
      </c>
      <c r="H1527" s="331">
        <v>49773</v>
      </c>
      <c r="I1527" s="331">
        <v>0</v>
      </c>
      <c r="J1527" s="331">
        <f t="shared" si="47"/>
        <v>49773</v>
      </c>
      <c r="K1527" s="199">
        <v>0.5</v>
      </c>
      <c r="L1527" s="199">
        <v>0.97</v>
      </c>
    </row>
    <row r="1528" spans="1:12" ht="15" customHeight="1" x14ac:dyDescent="0.25">
      <c r="A1528" s="49">
        <v>1994</v>
      </c>
      <c r="B1528" s="330" t="s">
        <v>44</v>
      </c>
      <c r="C1528" s="331">
        <v>4406041389</v>
      </c>
      <c r="D1528" s="331">
        <v>1711251599</v>
      </c>
      <c r="E1528" s="331">
        <v>9266453</v>
      </c>
      <c r="F1528" s="331">
        <v>11595</v>
      </c>
      <c r="G1528" s="332">
        <f t="shared" si="46"/>
        <v>2.6316139537290214E-6</v>
      </c>
      <c r="H1528" s="331">
        <v>51208</v>
      </c>
      <c r="I1528" s="331">
        <v>0</v>
      </c>
      <c r="J1528" s="331">
        <f t="shared" si="47"/>
        <v>51208</v>
      </c>
      <c r="K1528" s="199">
        <v>0.54</v>
      </c>
      <c r="L1528" s="199">
        <v>0.97</v>
      </c>
    </row>
    <row r="1529" spans="1:12" ht="15" customHeight="1" x14ac:dyDescent="0.25">
      <c r="A1529" s="49">
        <v>1995</v>
      </c>
      <c r="B1529" s="330" t="s">
        <v>44</v>
      </c>
      <c r="C1529" s="331">
        <v>4754072502</v>
      </c>
      <c r="D1529" s="331">
        <v>1796183483</v>
      </c>
      <c r="E1529" s="331">
        <v>9752082</v>
      </c>
      <c r="F1529" s="331">
        <v>13029</v>
      </c>
      <c r="G1529" s="332">
        <f t="shared" si="46"/>
        <v>2.7405976653740146E-6</v>
      </c>
      <c r="H1529" s="331">
        <v>51622</v>
      </c>
      <c r="I1529" s="331">
        <v>0</v>
      </c>
      <c r="J1529" s="331">
        <f t="shared" si="47"/>
        <v>51622</v>
      </c>
      <c r="K1529" s="199">
        <v>0.54</v>
      </c>
      <c r="L1529" s="199">
        <v>0.92</v>
      </c>
    </row>
    <row r="1530" spans="1:12" ht="15" customHeight="1" x14ac:dyDescent="0.25">
      <c r="A1530" s="49">
        <v>1996</v>
      </c>
      <c r="B1530" s="330" t="s">
        <v>44</v>
      </c>
      <c r="C1530" s="331">
        <v>5101257310</v>
      </c>
      <c r="D1530" s="331">
        <v>1855948909</v>
      </c>
      <c r="E1530" s="331">
        <v>10285084</v>
      </c>
      <c r="F1530" s="331">
        <v>15550</v>
      </c>
      <c r="G1530" s="332">
        <f t="shared" si="46"/>
        <v>3.0482681141210654E-6</v>
      </c>
      <c r="H1530" s="331">
        <v>49542</v>
      </c>
      <c r="I1530" s="331">
        <v>0</v>
      </c>
      <c r="J1530" s="331">
        <f t="shared" si="47"/>
        <v>49542</v>
      </c>
      <c r="K1530" s="199">
        <v>0.55000000000000004</v>
      </c>
      <c r="L1530" s="199">
        <v>0.91</v>
      </c>
    </row>
    <row r="1531" spans="1:12" ht="15" customHeight="1" x14ac:dyDescent="0.25">
      <c r="A1531" s="49">
        <v>1997</v>
      </c>
      <c r="B1531" s="330" t="s">
        <v>44</v>
      </c>
      <c r="C1531" s="331">
        <v>5486271188</v>
      </c>
      <c r="D1531" s="331">
        <v>1941694582</v>
      </c>
      <c r="E1531" s="331">
        <v>11328977</v>
      </c>
      <c r="F1531" s="331">
        <v>15495</v>
      </c>
      <c r="G1531" s="332">
        <f t="shared" si="46"/>
        <v>2.8243226535888113E-6</v>
      </c>
      <c r="H1531" s="331">
        <v>48939</v>
      </c>
      <c r="I1531" s="331">
        <v>0</v>
      </c>
      <c r="J1531" s="331">
        <f t="shared" si="47"/>
        <v>48939</v>
      </c>
      <c r="K1531" s="199">
        <v>0.57999999999999996</v>
      </c>
      <c r="L1531" s="199">
        <v>0.9</v>
      </c>
    </row>
    <row r="1532" spans="1:12" ht="15" customHeight="1" x14ac:dyDescent="0.25">
      <c r="A1532" s="49">
        <v>1998</v>
      </c>
      <c r="B1532" s="330" t="s">
        <v>44</v>
      </c>
      <c r="C1532" s="331">
        <v>5924270339</v>
      </c>
      <c r="D1532" s="331">
        <v>2014364732</v>
      </c>
      <c r="E1532" s="331">
        <v>12216236</v>
      </c>
      <c r="F1532" s="331">
        <v>15230</v>
      </c>
      <c r="G1532" s="332">
        <f t="shared" si="46"/>
        <v>2.5707807254742498E-6</v>
      </c>
      <c r="H1532" s="331">
        <v>49184</v>
      </c>
      <c r="I1532" s="331">
        <v>0</v>
      </c>
      <c r="J1532" s="331">
        <f t="shared" si="47"/>
        <v>49184</v>
      </c>
      <c r="K1532" s="199">
        <v>0.61</v>
      </c>
      <c r="L1532" s="199">
        <v>0.9</v>
      </c>
    </row>
    <row r="1533" spans="1:12" ht="15" customHeight="1" x14ac:dyDescent="0.25">
      <c r="A1533" s="49">
        <v>1999</v>
      </c>
      <c r="B1533" s="330" t="s">
        <v>44</v>
      </c>
      <c r="C1533" s="331">
        <v>6390551607</v>
      </c>
      <c r="D1533" s="331">
        <v>2097995315</v>
      </c>
      <c r="E1533" s="331">
        <v>12678811</v>
      </c>
      <c r="F1533" s="331">
        <v>15250</v>
      </c>
      <c r="G1533" s="332">
        <f t="shared" si="46"/>
        <v>2.3863354742798182E-6</v>
      </c>
      <c r="H1533" s="331">
        <v>49777</v>
      </c>
      <c r="I1533" s="331">
        <v>0</v>
      </c>
      <c r="J1533" s="331">
        <f t="shared" si="47"/>
        <v>49777</v>
      </c>
      <c r="K1533" s="199">
        <v>0.6</v>
      </c>
      <c r="L1533" s="199">
        <v>0.9</v>
      </c>
    </row>
    <row r="1534" spans="1:12" ht="15" customHeight="1" x14ac:dyDescent="0.25">
      <c r="A1534" s="49">
        <v>2000</v>
      </c>
      <c r="B1534" s="330" t="s">
        <v>44</v>
      </c>
      <c r="C1534" s="331">
        <v>6796505215</v>
      </c>
      <c r="D1534" s="331">
        <v>2169035988</v>
      </c>
      <c r="E1534" s="331">
        <v>13411073</v>
      </c>
      <c r="F1534" s="331">
        <v>15187</v>
      </c>
      <c r="G1534" s="332">
        <f t="shared" si="46"/>
        <v>2.234530765382485E-6</v>
      </c>
      <c r="H1534" s="331">
        <v>51445</v>
      </c>
      <c r="I1534" s="331">
        <v>0</v>
      </c>
      <c r="J1534" s="331">
        <f t="shared" si="47"/>
        <v>51445</v>
      </c>
      <c r="K1534" s="199">
        <v>0.62</v>
      </c>
      <c r="L1534" s="199">
        <v>0.9</v>
      </c>
    </row>
    <row r="1535" spans="1:12" ht="15" customHeight="1" x14ac:dyDescent="0.25">
      <c r="A1535" s="49">
        <v>2001</v>
      </c>
      <c r="B1535" s="330" t="s">
        <v>44</v>
      </c>
      <c r="C1535" s="331">
        <v>6970178820</v>
      </c>
      <c r="D1535" s="331">
        <v>2181776249</v>
      </c>
      <c r="E1535" s="331">
        <v>13452375</v>
      </c>
      <c r="F1535" s="331">
        <v>22767</v>
      </c>
      <c r="G1535" s="332">
        <f t="shared" si="46"/>
        <v>3.2663437464004688E-6</v>
      </c>
      <c r="H1535" s="331">
        <v>45552</v>
      </c>
      <c r="I1535" s="331">
        <v>0</v>
      </c>
      <c r="J1535" s="331">
        <f t="shared" si="47"/>
        <v>45552</v>
      </c>
      <c r="K1535" s="199">
        <v>0.62</v>
      </c>
      <c r="L1535" s="199">
        <v>0.83</v>
      </c>
    </row>
    <row r="1536" spans="1:12" ht="15" customHeight="1" x14ac:dyDescent="0.25">
      <c r="A1536" s="49">
        <v>2002</v>
      </c>
      <c r="B1536" s="330" t="s">
        <v>44</v>
      </c>
      <c r="C1536" s="331">
        <v>7055706741</v>
      </c>
      <c r="D1536" s="331">
        <v>2151767357</v>
      </c>
      <c r="E1536" s="331">
        <v>13587319</v>
      </c>
      <c r="F1536" s="331">
        <v>29776</v>
      </c>
      <c r="G1536" s="332">
        <f t="shared" si="46"/>
        <v>4.220130044092489E-6</v>
      </c>
      <c r="H1536" s="331">
        <v>51667</v>
      </c>
      <c r="I1536" s="331">
        <v>0</v>
      </c>
      <c r="J1536" s="331">
        <f t="shared" si="47"/>
        <v>51667</v>
      </c>
      <c r="K1536" s="199">
        <v>0.63</v>
      </c>
      <c r="L1536" s="199">
        <v>0.83</v>
      </c>
    </row>
    <row r="1537" spans="1:12" ht="15" customHeight="1" x14ac:dyDescent="0.25">
      <c r="A1537" s="49">
        <v>2003</v>
      </c>
      <c r="B1537" s="330" t="s">
        <v>44</v>
      </c>
      <c r="C1537" s="331">
        <v>7269781869</v>
      </c>
      <c r="D1537" s="331">
        <v>2134792446</v>
      </c>
      <c r="E1537" s="331">
        <v>14840817</v>
      </c>
      <c r="F1537" s="331">
        <v>31024</v>
      </c>
      <c r="G1537" s="332">
        <f t="shared" si="46"/>
        <v>4.2675283191499013E-6</v>
      </c>
      <c r="H1537" s="331">
        <v>38218</v>
      </c>
      <c r="I1537" s="331">
        <v>0</v>
      </c>
      <c r="J1537" s="331">
        <f t="shared" si="47"/>
        <v>38218</v>
      </c>
      <c r="K1537" s="199">
        <v>0.7</v>
      </c>
      <c r="L1537" s="199">
        <v>0.83</v>
      </c>
    </row>
    <row r="1538" spans="1:12" ht="15" customHeight="1" x14ac:dyDescent="0.25">
      <c r="A1538" s="49">
        <v>2004</v>
      </c>
      <c r="B1538" s="330" t="s">
        <v>44</v>
      </c>
      <c r="C1538" s="331">
        <v>7670112483</v>
      </c>
      <c r="D1538" s="331">
        <v>2192374013</v>
      </c>
      <c r="E1538" s="331">
        <v>16423419</v>
      </c>
      <c r="F1538" s="331">
        <v>28129</v>
      </c>
      <c r="G1538" s="332">
        <f t="shared" ref="G1538:G1601" si="48">F1538/C1538</f>
        <v>3.6673516929960255E-6</v>
      </c>
      <c r="H1538" s="331">
        <v>27618</v>
      </c>
      <c r="I1538" s="331">
        <v>0</v>
      </c>
      <c r="J1538" s="331">
        <f t="shared" ref="J1538:J1601" si="49">H1538-I1538</f>
        <v>27618</v>
      </c>
      <c r="K1538" s="199">
        <v>0.75</v>
      </c>
      <c r="L1538" s="199">
        <v>0.83</v>
      </c>
    </row>
    <row r="1539" spans="1:12" ht="15" customHeight="1" x14ac:dyDescent="0.25">
      <c r="A1539" s="49">
        <v>2005</v>
      </c>
      <c r="B1539" s="330" t="s">
        <v>44</v>
      </c>
      <c r="C1539" s="331">
        <v>8045219023</v>
      </c>
      <c r="D1539" s="331">
        <v>2254539036</v>
      </c>
      <c r="E1539" s="331">
        <v>17464970</v>
      </c>
      <c r="F1539" s="331">
        <v>25776</v>
      </c>
      <c r="G1539" s="332">
        <f t="shared" si="48"/>
        <v>3.2038904007846797E-6</v>
      </c>
      <c r="H1539" s="331">
        <v>20766</v>
      </c>
      <c r="I1539" s="331">
        <v>0</v>
      </c>
      <c r="J1539" s="331">
        <f t="shared" si="49"/>
        <v>20766</v>
      </c>
      <c r="K1539" s="199">
        <v>0.77</v>
      </c>
      <c r="L1539" s="199">
        <v>0.83</v>
      </c>
    </row>
    <row r="1540" spans="1:12" ht="15" customHeight="1" x14ac:dyDescent="0.25">
      <c r="A1540" s="49">
        <v>2006</v>
      </c>
      <c r="B1540" s="330" t="s">
        <v>44</v>
      </c>
      <c r="C1540" s="331">
        <v>8570554748</v>
      </c>
      <c r="D1540" s="331">
        <v>2338232136</v>
      </c>
      <c r="E1540" s="331">
        <v>18710545</v>
      </c>
      <c r="F1540" s="331">
        <v>20761</v>
      </c>
      <c r="G1540" s="332">
        <f t="shared" si="48"/>
        <v>2.4223636171094675E-6</v>
      </c>
      <c r="H1540" s="331">
        <v>19504</v>
      </c>
      <c r="I1540" s="331">
        <v>0</v>
      </c>
      <c r="J1540" s="331">
        <f t="shared" si="49"/>
        <v>19504</v>
      </c>
      <c r="K1540" s="199">
        <v>0.8</v>
      </c>
      <c r="L1540" s="199">
        <v>0.83</v>
      </c>
    </row>
    <row r="1541" spans="1:12" x14ac:dyDescent="0.25">
      <c r="A1541" s="49">
        <v>2007</v>
      </c>
      <c r="B1541" s="330" t="s">
        <v>44</v>
      </c>
      <c r="C1541" s="331">
        <v>9174084054</v>
      </c>
      <c r="D1541" s="331">
        <v>2789367476</v>
      </c>
      <c r="E1541" s="331">
        <v>25724075</v>
      </c>
      <c r="F1541" s="331">
        <v>20753</v>
      </c>
      <c r="G1541" s="332">
        <f t="shared" si="48"/>
        <v>2.2621331871219847E-6</v>
      </c>
      <c r="H1541" s="331">
        <v>24680</v>
      </c>
      <c r="I1541" s="331">
        <v>0</v>
      </c>
      <c r="J1541" s="331">
        <f t="shared" si="49"/>
        <v>24680</v>
      </c>
      <c r="K1541" s="199">
        <v>0.92</v>
      </c>
      <c r="L1541" s="199">
        <v>0.83</v>
      </c>
    </row>
    <row r="1542" spans="1:12" ht="15" customHeight="1" x14ac:dyDescent="0.25">
      <c r="A1542" s="49">
        <v>2008</v>
      </c>
      <c r="B1542" s="330" t="s">
        <v>44</v>
      </c>
      <c r="C1542" s="331">
        <v>9547341536</v>
      </c>
      <c r="D1542" s="331">
        <v>2944049550</v>
      </c>
      <c r="E1542" s="331">
        <v>24667261</v>
      </c>
      <c r="F1542" s="331">
        <v>25041</v>
      </c>
      <c r="G1542" s="332">
        <f t="shared" si="48"/>
        <v>2.6228243648326944E-6</v>
      </c>
      <c r="H1542" s="331">
        <v>25481</v>
      </c>
      <c r="I1542" s="331">
        <v>0</v>
      </c>
      <c r="J1542" s="331">
        <f t="shared" si="49"/>
        <v>25481</v>
      </c>
      <c r="K1542" s="199">
        <v>0.8</v>
      </c>
      <c r="L1542" s="199">
        <v>0.83</v>
      </c>
    </row>
    <row r="1543" spans="1:12" ht="15" customHeight="1" x14ac:dyDescent="0.25">
      <c r="A1543" s="49">
        <v>2009</v>
      </c>
      <c r="B1543" s="330" t="s">
        <v>44</v>
      </c>
      <c r="C1543" s="331">
        <v>9324250897</v>
      </c>
      <c r="D1543" s="331">
        <v>2932875803</v>
      </c>
      <c r="E1543" s="331">
        <v>28691771</v>
      </c>
      <c r="F1543" s="331">
        <v>63569</v>
      </c>
      <c r="G1543" s="332">
        <f t="shared" si="48"/>
        <v>6.81759861486061E-6</v>
      </c>
      <c r="H1543" s="331">
        <v>1222</v>
      </c>
      <c r="I1543" s="331">
        <v>7732</v>
      </c>
      <c r="J1543" s="331">
        <f t="shared" si="49"/>
        <v>-6510</v>
      </c>
      <c r="K1543" s="199">
        <v>1</v>
      </c>
      <c r="L1543" s="199">
        <v>0.51</v>
      </c>
    </row>
    <row r="1544" spans="1:12" ht="15" customHeight="1" x14ac:dyDescent="0.25">
      <c r="A1544" s="49">
        <v>2010</v>
      </c>
      <c r="B1544" s="330" t="s">
        <v>44</v>
      </c>
      <c r="C1544" s="331">
        <v>9512031275</v>
      </c>
      <c r="D1544" s="331">
        <v>3037675953</v>
      </c>
      <c r="E1544" s="331">
        <v>68974355</v>
      </c>
      <c r="F1544" s="331">
        <v>49698</v>
      </c>
      <c r="G1544" s="332">
        <f t="shared" si="48"/>
        <v>5.2247515344718E-6</v>
      </c>
      <c r="H1544" s="331">
        <v>25767</v>
      </c>
      <c r="I1544" s="331">
        <v>0</v>
      </c>
      <c r="J1544" s="331">
        <f t="shared" si="49"/>
        <v>25767</v>
      </c>
      <c r="K1544" s="199">
        <v>2.2999999999999998</v>
      </c>
      <c r="L1544" s="199">
        <v>0.54</v>
      </c>
    </row>
    <row r="1545" spans="1:12" ht="15" customHeight="1" x14ac:dyDescent="0.25">
      <c r="A1545" s="49">
        <v>2011</v>
      </c>
      <c r="B1545" s="330" t="s">
        <v>44</v>
      </c>
      <c r="C1545" s="331">
        <v>9962973617</v>
      </c>
      <c r="D1545" s="331">
        <v>3347705206</v>
      </c>
      <c r="E1545" s="331">
        <v>47406123</v>
      </c>
      <c r="F1545" s="331">
        <v>38701</v>
      </c>
      <c r="G1545" s="332">
        <f t="shared" si="48"/>
        <v>3.8844828349202683E-6</v>
      </c>
      <c r="H1545" s="331">
        <v>36940</v>
      </c>
      <c r="I1545" s="331">
        <v>0</v>
      </c>
      <c r="J1545" s="331">
        <f t="shared" si="49"/>
        <v>36940</v>
      </c>
      <c r="K1545" s="199">
        <v>1.4</v>
      </c>
      <c r="L1545" s="199">
        <v>0.54</v>
      </c>
    </row>
    <row r="1546" spans="1:12" ht="15" customHeight="1" x14ac:dyDescent="0.25">
      <c r="A1546" s="49">
        <v>2012</v>
      </c>
      <c r="B1546" s="330" t="s">
        <v>44</v>
      </c>
      <c r="C1546" s="331">
        <v>10461978633</v>
      </c>
      <c r="D1546" s="331">
        <v>3672139182</v>
      </c>
      <c r="E1546" s="331">
        <v>43828722</v>
      </c>
      <c r="F1546" s="331">
        <v>33317</v>
      </c>
      <c r="G1546" s="332">
        <f t="shared" si="48"/>
        <v>3.1845792434433851E-6</v>
      </c>
      <c r="H1546" s="331">
        <v>51696</v>
      </c>
      <c r="I1546" s="331">
        <v>0</v>
      </c>
      <c r="J1546" s="331">
        <f t="shared" si="49"/>
        <v>51696</v>
      </c>
      <c r="K1546" s="199">
        <v>1.19</v>
      </c>
      <c r="L1546" s="199">
        <v>0.54</v>
      </c>
    </row>
    <row r="1547" spans="1:12" ht="15" customHeight="1" x14ac:dyDescent="0.25">
      <c r="A1547" s="49">
        <v>2013</v>
      </c>
      <c r="B1547" s="330" t="s">
        <v>44</v>
      </c>
      <c r="C1547" s="331">
        <v>10763008397</v>
      </c>
      <c r="D1547" s="331">
        <v>3957841026</v>
      </c>
      <c r="E1547" s="331">
        <v>42135948</v>
      </c>
      <c r="F1547" s="331">
        <v>30107</v>
      </c>
      <c r="G1547" s="332">
        <f t="shared" si="48"/>
        <v>2.7972662372345448E-6</v>
      </c>
      <c r="H1547" s="331">
        <v>65997</v>
      </c>
      <c r="I1547" s="331">
        <v>0</v>
      </c>
      <c r="J1547" s="331">
        <f t="shared" si="49"/>
        <v>65997</v>
      </c>
      <c r="K1547" s="199">
        <v>1.06</v>
      </c>
      <c r="L1547" s="199">
        <v>0.54</v>
      </c>
    </row>
    <row r="1548" spans="1:12" ht="15" customHeight="1" x14ac:dyDescent="0.25">
      <c r="A1548" s="49">
        <v>2014</v>
      </c>
      <c r="B1548" s="330" t="s">
        <v>44</v>
      </c>
      <c r="C1548" s="331">
        <v>11437934644</v>
      </c>
      <c r="D1548" s="331">
        <v>4324745291</v>
      </c>
      <c r="E1548" s="331">
        <v>42717263</v>
      </c>
      <c r="F1548" s="331">
        <v>26462</v>
      </c>
      <c r="G1548" s="332">
        <f t="shared" si="48"/>
        <v>2.3135295683719593E-6</v>
      </c>
      <c r="H1548" s="331">
        <v>84767</v>
      </c>
      <c r="I1548" s="331">
        <v>0</v>
      </c>
      <c r="J1548" s="331">
        <f t="shared" si="49"/>
        <v>84767</v>
      </c>
      <c r="K1548" s="333">
        <v>0.98774055177068221</v>
      </c>
      <c r="L1548" s="199">
        <v>0.54</v>
      </c>
    </row>
    <row r="1549" spans="1:12" ht="15" customHeight="1" x14ac:dyDescent="0.25">
      <c r="A1549" s="49">
        <v>2015</v>
      </c>
      <c r="B1549" s="330" t="s">
        <v>44</v>
      </c>
      <c r="C1549" s="334">
        <v>12031989000</v>
      </c>
      <c r="D1549" s="334">
        <v>4662662000</v>
      </c>
      <c r="E1549" s="334">
        <v>36559000</v>
      </c>
      <c r="F1549" s="331">
        <v>24859</v>
      </c>
      <c r="G1549" s="332">
        <f t="shared" si="48"/>
        <v>2.0660756920572318E-6</v>
      </c>
      <c r="H1549" s="331">
        <v>99458</v>
      </c>
      <c r="I1549" s="199">
        <v>0</v>
      </c>
      <c r="J1549" s="331">
        <f t="shared" si="49"/>
        <v>99458</v>
      </c>
      <c r="K1549" s="199">
        <v>0.8</v>
      </c>
      <c r="L1549" s="199">
        <v>0.54</v>
      </c>
    </row>
    <row r="1550" spans="1:12" ht="15" customHeight="1" x14ac:dyDescent="0.25">
      <c r="A1550" s="49">
        <v>1980</v>
      </c>
      <c r="B1550" s="330" t="s">
        <v>45</v>
      </c>
      <c r="C1550" s="331">
        <v>17322896104</v>
      </c>
      <c r="D1550" s="331">
        <v>8273722418</v>
      </c>
      <c r="E1550" s="331">
        <v>148312068</v>
      </c>
      <c r="F1550" s="331">
        <v>233519</v>
      </c>
      <c r="G1550" s="332">
        <f t="shared" si="48"/>
        <v>1.3480367174059223E-5</v>
      </c>
      <c r="H1550" s="331">
        <v>207980</v>
      </c>
      <c r="I1550" s="331">
        <v>0</v>
      </c>
      <c r="J1550" s="331">
        <f t="shared" si="49"/>
        <v>207980</v>
      </c>
      <c r="K1550" s="199">
        <v>1.79</v>
      </c>
      <c r="L1550" s="199">
        <v>1.73</v>
      </c>
    </row>
    <row r="1551" spans="1:12" ht="15" customHeight="1" x14ac:dyDescent="0.25">
      <c r="A1551" s="49">
        <v>1981</v>
      </c>
      <c r="B1551" s="330" t="s">
        <v>45</v>
      </c>
      <c r="C1551" s="331">
        <v>18806810906</v>
      </c>
      <c r="D1551" s="331">
        <v>8489761771</v>
      </c>
      <c r="E1551" s="331">
        <v>153029145</v>
      </c>
      <c r="F1551" s="331">
        <v>208887</v>
      </c>
      <c r="G1551" s="332">
        <f t="shared" si="48"/>
        <v>1.1106986774315793E-5</v>
      </c>
      <c r="H1551" s="331">
        <v>146168</v>
      </c>
      <c r="I1551" s="331">
        <v>0</v>
      </c>
      <c r="J1551" s="331">
        <f t="shared" si="49"/>
        <v>146168</v>
      </c>
      <c r="K1551" s="199">
        <v>1.8</v>
      </c>
      <c r="L1551" s="199">
        <v>1.6</v>
      </c>
    </row>
    <row r="1552" spans="1:12" ht="15" customHeight="1" x14ac:dyDescent="0.25">
      <c r="A1552" s="49">
        <v>1982</v>
      </c>
      <c r="B1552" s="330" t="s">
        <v>45</v>
      </c>
      <c r="C1552" s="331">
        <v>19447161676</v>
      </c>
      <c r="D1552" s="331">
        <v>8355444764</v>
      </c>
      <c r="E1552" s="331">
        <v>205105304</v>
      </c>
      <c r="F1552" s="331">
        <v>323996</v>
      </c>
      <c r="G1552" s="332">
        <f t="shared" si="48"/>
        <v>1.6660323259401282E-5</v>
      </c>
      <c r="H1552" s="331">
        <v>14954</v>
      </c>
      <c r="I1552" s="331">
        <v>0</v>
      </c>
      <c r="J1552" s="331">
        <f t="shared" si="49"/>
        <v>14954</v>
      </c>
      <c r="K1552" s="199">
        <v>2.4500000000000002</v>
      </c>
      <c r="L1552" s="199">
        <v>1.79</v>
      </c>
    </row>
    <row r="1553" spans="1:12" ht="15" customHeight="1" x14ac:dyDescent="0.25">
      <c r="A1553" s="49">
        <v>1983</v>
      </c>
      <c r="B1553" s="330" t="s">
        <v>45</v>
      </c>
      <c r="C1553" s="331">
        <v>20779473736</v>
      </c>
      <c r="D1553" s="331">
        <v>9561024604</v>
      </c>
      <c r="E1553" s="331">
        <v>293073294</v>
      </c>
      <c r="F1553" s="331">
        <v>233720</v>
      </c>
      <c r="G1553" s="332">
        <f t="shared" si="48"/>
        <v>1.1247638076371734E-5</v>
      </c>
      <c r="H1553" s="331">
        <v>79776</v>
      </c>
      <c r="I1553" s="331">
        <v>0</v>
      </c>
      <c r="J1553" s="331">
        <f t="shared" si="49"/>
        <v>79776</v>
      </c>
      <c r="K1553" s="199">
        <v>3.07</v>
      </c>
      <c r="L1553" s="199">
        <v>1.79</v>
      </c>
    </row>
    <row r="1554" spans="1:12" ht="15" customHeight="1" x14ac:dyDescent="0.25">
      <c r="A1554" s="49">
        <v>1984</v>
      </c>
      <c r="B1554" s="330" t="s">
        <v>45</v>
      </c>
      <c r="C1554" s="331">
        <v>23039957548</v>
      </c>
      <c r="D1554" s="331">
        <v>10234747016</v>
      </c>
      <c r="E1554" s="331">
        <v>330012690</v>
      </c>
      <c r="F1554" s="331">
        <v>143164</v>
      </c>
      <c r="G1554" s="332">
        <f t="shared" si="48"/>
        <v>6.213726726785026E-6</v>
      </c>
      <c r="H1554" s="331">
        <v>279128</v>
      </c>
      <c r="I1554" s="331">
        <v>0</v>
      </c>
      <c r="J1554" s="331">
        <f t="shared" si="49"/>
        <v>279128</v>
      </c>
      <c r="K1554" s="199">
        <v>3.22</v>
      </c>
      <c r="L1554" s="199">
        <v>1.79</v>
      </c>
    </row>
    <row r="1555" spans="1:12" ht="15" customHeight="1" x14ac:dyDescent="0.25">
      <c r="A1555" s="49">
        <v>1985</v>
      </c>
      <c r="B1555" s="330" t="s">
        <v>45</v>
      </c>
      <c r="C1555" s="331">
        <v>24741859794</v>
      </c>
      <c r="D1555" s="331">
        <v>10615720677</v>
      </c>
      <c r="E1555" s="331">
        <v>223442609</v>
      </c>
      <c r="F1555" s="331">
        <v>175638</v>
      </c>
      <c r="G1555" s="332">
        <f t="shared" si="48"/>
        <v>7.0988196304706614E-6</v>
      </c>
      <c r="H1555" s="331">
        <v>374842</v>
      </c>
      <c r="I1555" s="331">
        <v>0</v>
      </c>
      <c r="J1555" s="331">
        <f t="shared" si="49"/>
        <v>374842</v>
      </c>
      <c r="K1555" s="199">
        <v>2.1</v>
      </c>
      <c r="L1555" s="199">
        <v>1.79</v>
      </c>
    </row>
    <row r="1556" spans="1:12" ht="15" customHeight="1" x14ac:dyDescent="0.25">
      <c r="A1556" s="49">
        <v>1986</v>
      </c>
      <c r="B1556" s="330" t="s">
        <v>45</v>
      </c>
      <c r="C1556" s="331">
        <v>26717789053</v>
      </c>
      <c r="D1556" s="331">
        <v>11061193153</v>
      </c>
      <c r="E1556" s="331">
        <v>190349970</v>
      </c>
      <c r="F1556" s="331">
        <v>171541</v>
      </c>
      <c r="G1556" s="332">
        <f t="shared" si="48"/>
        <v>6.4204788674584797E-6</v>
      </c>
      <c r="H1556" s="331">
        <v>431389</v>
      </c>
      <c r="I1556" s="331">
        <v>0</v>
      </c>
      <c r="J1556" s="331">
        <f t="shared" si="49"/>
        <v>431389</v>
      </c>
      <c r="K1556" s="199">
        <v>1.72</v>
      </c>
      <c r="L1556" s="199">
        <v>1.79</v>
      </c>
    </row>
    <row r="1557" spans="1:12" ht="15" customHeight="1" x14ac:dyDescent="0.25">
      <c r="A1557" s="49">
        <v>1987</v>
      </c>
      <c r="B1557" s="330" t="s">
        <v>45</v>
      </c>
      <c r="C1557" s="331">
        <v>29252328307</v>
      </c>
      <c r="D1557" s="331">
        <v>11712959063</v>
      </c>
      <c r="E1557" s="331">
        <v>199332317</v>
      </c>
      <c r="F1557" s="331">
        <v>161626</v>
      </c>
      <c r="G1557" s="332">
        <f t="shared" si="48"/>
        <v>5.5252354036148077E-6</v>
      </c>
      <c r="H1557" s="331">
        <v>506453</v>
      </c>
      <c r="I1557" s="331">
        <v>0</v>
      </c>
      <c r="J1557" s="331">
        <f t="shared" si="49"/>
        <v>506453</v>
      </c>
      <c r="K1557" s="199">
        <v>1.7</v>
      </c>
      <c r="L1557" s="199">
        <v>1.79</v>
      </c>
    </row>
    <row r="1558" spans="1:12" ht="15" customHeight="1" x14ac:dyDescent="0.25">
      <c r="A1558" s="49">
        <v>1988</v>
      </c>
      <c r="B1558" s="330" t="s">
        <v>45</v>
      </c>
      <c r="C1558" s="331">
        <v>31543702549</v>
      </c>
      <c r="D1558" s="331">
        <v>12262836726</v>
      </c>
      <c r="E1558" s="331">
        <v>207357429</v>
      </c>
      <c r="F1558" s="331">
        <v>177134</v>
      </c>
      <c r="G1558" s="332">
        <f t="shared" si="48"/>
        <v>5.6155107259472781E-6</v>
      </c>
      <c r="H1558" s="331">
        <v>582041</v>
      </c>
      <c r="I1558" s="331">
        <v>0</v>
      </c>
      <c r="J1558" s="331">
        <f t="shared" si="49"/>
        <v>582041</v>
      </c>
      <c r="K1558" s="199">
        <v>1.69</v>
      </c>
      <c r="L1558" s="199">
        <v>1.79</v>
      </c>
    </row>
    <row r="1559" spans="1:12" ht="15" customHeight="1" x14ac:dyDescent="0.25">
      <c r="A1559" s="49">
        <v>1989</v>
      </c>
      <c r="B1559" s="330" t="s">
        <v>45</v>
      </c>
      <c r="C1559" s="331">
        <v>33495574035</v>
      </c>
      <c r="D1559" s="331">
        <v>12675914113</v>
      </c>
      <c r="E1559" s="331">
        <v>209710351</v>
      </c>
      <c r="F1559" s="331">
        <v>191331</v>
      </c>
      <c r="G1559" s="332">
        <f t="shared" si="48"/>
        <v>5.7121278112766639E-6</v>
      </c>
      <c r="H1559" s="331">
        <v>657120</v>
      </c>
      <c r="I1559" s="331">
        <v>0</v>
      </c>
      <c r="J1559" s="331">
        <f t="shared" si="49"/>
        <v>657120</v>
      </c>
      <c r="K1559" s="199">
        <v>1.65</v>
      </c>
      <c r="L1559" s="199">
        <v>1.79</v>
      </c>
    </row>
    <row r="1560" spans="1:12" ht="15" customHeight="1" x14ac:dyDescent="0.25">
      <c r="A1560" s="49">
        <v>1990</v>
      </c>
      <c r="B1560" s="330" t="s">
        <v>45</v>
      </c>
      <c r="C1560" s="331">
        <v>35279545507</v>
      </c>
      <c r="D1560" s="331">
        <v>12913803901</v>
      </c>
      <c r="E1560" s="331">
        <v>207460967</v>
      </c>
      <c r="F1560" s="331">
        <v>248500</v>
      </c>
      <c r="G1560" s="332">
        <f t="shared" si="48"/>
        <v>7.043741534331666E-6</v>
      </c>
      <c r="H1560" s="331">
        <v>678049</v>
      </c>
      <c r="I1560" s="331">
        <v>0</v>
      </c>
      <c r="J1560" s="331">
        <f t="shared" si="49"/>
        <v>678049</v>
      </c>
      <c r="K1560" s="199">
        <v>1.61</v>
      </c>
      <c r="L1560" s="199">
        <v>1.79</v>
      </c>
    </row>
    <row r="1561" spans="1:12" ht="15" customHeight="1" x14ac:dyDescent="0.25">
      <c r="A1561" s="49">
        <v>1991</v>
      </c>
      <c r="B1561" s="330" t="s">
        <v>45</v>
      </c>
      <c r="C1561" s="331">
        <v>36614962406</v>
      </c>
      <c r="D1561" s="331">
        <v>12883469064</v>
      </c>
      <c r="E1561" s="331">
        <v>205414229</v>
      </c>
      <c r="F1561" s="331">
        <v>324657</v>
      </c>
      <c r="G1561" s="332">
        <f t="shared" si="48"/>
        <v>8.8667850153739141E-6</v>
      </c>
      <c r="H1561" s="331">
        <v>612653</v>
      </c>
      <c r="I1561" s="331">
        <v>0</v>
      </c>
      <c r="J1561" s="331">
        <f t="shared" si="49"/>
        <v>612653</v>
      </c>
      <c r="K1561" s="199">
        <v>1.59</v>
      </c>
      <c r="L1561" s="199">
        <v>1.79</v>
      </c>
    </row>
    <row r="1562" spans="1:12" ht="15" customHeight="1" x14ac:dyDescent="0.25">
      <c r="A1562" s="49">
        <v>1992</v>
      </c>
      <c r="B1562" s="330" t="s">
        <v>45</v>
      </c>
      <c r="C1562" s="331">
        <v>40112138899</v>
      </c>
      <c r="D1562" s="331">
        <v>13361390442</v>
      </c>
      <c r="E1562" s="331">
        <v>224885618</v>
      </c>
      <c r="F1562" s="331">
        <v>278841</v>
      </c>
      <c r="G1562" s="332">
        <f t="shared" si="48"/>
        <v>6.9515365585990117E-6</v>
      </c>
      <c r="H1562" s="331">
        <v>603130</v>
      </c>
      <c r="I1562" s="331">
        <v>0</v>
      </c>
      <c r="J1562" s="331">
        <f t="shared" si="49"/>
        <v>603130</v>
      </c>
      <c r="K1562" s="199">
        <v>1.68</v>
      </c>
      <c r="L1562" s="199">
        <v>1.79</v>
      </c>
    </row>
    <row r="1563" spans="1:12" ht="15" customHeight="1" x14ac:dyDescent="0.25">
      <c r="A1563" s="49">
        <v>1993</v>
      </c>
      <c r="B1563" s="330" t="s">
        <v>45</v>
      </c>
      <c r="C1563" s="331">
        <v>42675343973</v>
      </c>
      <c r="D1563" s="331">
        <v>13953338783</v>
      </c>
      <c r="E1563" s="331">
        <v>251133221</v>
      </c>
      <c r="F1563" s="331">
        <v>230030</v>
      </c>
      <c r="G1563" s="332">
        <f t="shared" si="48"/>
        <v>5.3902318900003777E-6</v>
      </c>
      <c r="H1563" s="331">
        <v>672261</v>
      </c>
      <c r="I1563" s="331">
        <v>0</v>
      </c>
      <c r="J1563" s="331">
        <f t="shared" si="49"/>
        <v>672261</v>
      </c>
      <c r="K1563" s="199">
        <v>1.8</v>
      </c>
      <c r="L1563" s="199">
        <v>1.79</v>
      </c>
    </row>
    <row r="1564" spans="1:12" ht="15" customHeight="1" x14ac:dyDescent="0.25">
      <c r="A1564" s="49">
        <v>1994</v>
      </c>
      <c r="B1564" s="330" t="s">
        <v>45</v>
      </c>
      <c r="C1564" s="331">
        <v>46004860392</v>
      </c>
      <c r="D1564" s="331">
        <v>14903274141</v>
      </c>
      <c r="E1564" s="331">
        <v>269909260</v>
      </c>
      <c r="F1564" s="331">
        <v>242255</v>
      </c>
      <c r="G1564" s="332">
        <f t="shared" si="48"/>
        <v>5.2658566494014805E-6</v>
      </c>
      <c r="H1564" s="331">
        <v>747477</v>
      </c>
      <c r="I1564" s="331">
        <v>0</v>
      </c>
      <c r="J1564" s="331">
        <f t="shared" si="49"/>
        <v>747477</v>
      </c>
      <c r="K1564" s="199">
        <v>1.81</v>
      </c>
      <c r="L1564" s="199">
        <v>1.79</v>
      </c>
    </row>
    <row r="1565" spans="1:12" ht="15" customHeight="1" x14ac:dyDescent="0.25">
      <c r="A1565" s="49">
        <v>1995</v>
      </c>
      <c r="B1565" s="330" t="s">
        <v>45</v>
      </c>
      <c r="C1565" s="331">
        <v>49677500950</v>
      </c>
      <c r="D1565" s="331">
        <v>15621684468</v>
      </c>
      <c r="E1565" s="331">
        <v>273661242</v>
      </c>
      <c r="F1565" s="331">
        <v>256409</v>
      </c>
      <c r="G1565" s="332">
        <f t="shared" si="48"/>
        <v>5.1614713924131082E-6</v>
      </c>
      <c r="H1565" s="331">
        <v>822821</v>
      </c>
      <c r="I1565" s="331">
        <v>0</v>
      </c>
      <c r="J1565" s="331">
        <f t="shared" si="49"/>
        <v>822821</v>
      </c>
      <c r="K1565" s="199">
        <v>1.75</v>
      </c>
      <c r="L1565" s="199">
        <v>1.47</v>
      </c>
    </row>
    <row r="1566" spans="1:12" ht="15" customHeight="1" x14ac:dyDescent="0.25">
      <c r="A1566" s="49">
        <v>1996</v>
      </c>
      <c r="B1566" s="330" t="s">
        <v>45</v>
      </c>
      <c r="C1566" s="331">
        <v>52262745889</v>
      </c>
      <c r="D1566" s="331">
        <v>15980242112</v>
      </c>
      <c r="E1566" s="331">
        <v>260246639</v>
      </c>
      <c r="F1566" s="331">
        <v>312045</v>
      </c>
      <c r="G1566" s="332">
        <f t="shared" si="48"/>
        <v>5.9706966155729233E-6</v>
      </c>
      <c r="H1566" s="331">
        <v>826526</v>
      </c>
      <c r="I1566" s="331">
        <v>0</v>
      </c>
      <c r="J1566" s="331">
        <f t="shared" si="49"/>
        <v>826526</v>
      </c>
      <c r="K1566" s="199">
        <v>1.63</v>
      </c>
      <c r="L1566" s="199">
        <v>1.46</v>
      </c>
    </row>
    <row r="1567" spans="1:12" ht="15" customHeight="1" x14ac:dyDescent="0.25">
      <c r="A1567" s="49">
        <v>1997</v>
      </c>
      <c r="B1567" s="330" t="s">
        <v>45</v>
      </c>
      <c r="C1567" s="331">
        <v>56443821041</v>
      </c>
      <c r="D1567" s="331">
        <v>16754977335</v>
      </c>
      <c r="E1567" s="331">
        <v>259739403</v>
      </c>
      <c r="F1567" s="331">
        <v>292586</v>
      </c>
      <c r="G1567" s="332">
        <f t="shared" si="48"/>
        <v>5.1836674874911397E-6</v>
      </c>
      <c r="H1567" s="331">
        <v>847842</v>
      </c>
      <c r="I1567" s="331">
        <v>0</v>
      </c>
      <c r="J1567" s="331">
        <f t="shared" si="49"/>
        <v>847842</v>
      </c>
      <c r="K1567" s="199">
        <v>1.55</v>
      </c>
      <c r="L1567" s="199">
        <v>1.46</v>
      </c>
    </row>
    <row r="1568" spans="1:12" ht="15" customHeight="1" x14ac:dyDescent="0.25">
      <c r="A1568" s="49">
        <v>1998</v>
      </c>
      <c r="B1568" s="330" t="s">
        <v>45</v>
      </c>
      <c r="C1568" s="331">
        <v>60430193817</v>
      </c>
      <c r="D1568" s="331">
        <v>17324452619</v>
      </c>
      <c r="E1568" s="331">
        <v>277264951</v>
      </c>
      <c r="F1568" s="331">
        <v>300944</v>
      </c>
      <c r="G1568" s="332">
        <f t="shared" si="48"/>
        <v>4.9800270525582786E-6</v>
      </c>
      <c r="H1568" s="331">
        <v>870968</v>
      </c>
      <c r="I1568" s="331">
        <v>0</v>
      </c>
      <c r="J1568" s="331">
        <f t="shared" si="49"/>
        <v>870968</v>
      </c>
      <c r="K1568" s="199">
        <v>1.6</v>
      </c>
      <c r="L1568" s="199">
        <v>1.46</v>
      </c>
    </row>
    <row r="1569" spans="1:12" ht="15" customHeight="1" x14ac:dyDescent="0.25">
      <c r="A1569" s="49">
        <v>1999</v>
      </c>
      <c r="B1569" s="330" t="s">
        <v>45</v>
      </c>
      <c r="C1569" s="331">
        <v>63912523761</v>
      </c>
      <c r="D1569" s="331">
        <v>17998708544</v>
      </c>
      <c r="E1569" s="331">
        <v>271271337</v>
      </c>
      <c r="F1569" s="331">
        <v>312725</v>
      </c>
      <c r="G1569" s="332">
        <f t="shared" si="48"/>
        <v>4.8930159786747089E-6</v>
      </c>
      <c r="H1569" s="331">
        <v>887839</v>
      </c>
      <c r="I1569" s="331">
        <v>0</v>
      </c>
      <c r="J1569" s="331">
        <f t="shared" si="49"/>
        <v>887839</v>
      </c>
      <c r="K1569" s="199">
        <v>1.51</v>
      </c>
      <c r="L1569" s="199">
        <v>1.46</v>
      </c>
    </row>
    <row r="1570" spans="1:12" ht="15" customHeight="1" x14ac:dyDescent="0.25">
      <c r="A1570" s="49">
        <v>2000</v>
      </c>
      <c r="B1570" s="330" t="s">
        <v>45</v>
      </c>
      <c r="C1570" s="331">
        <v>67188860941</v>
      </c>
      <c r="D1570" s="331">
        <v>18370728476</v>
      </c>
      <c r="E1570" s="331">
        <v>282547005</v>
      </c>
      <c r="F1570" s="331">
        <v>351845</v>
      </c>
      <c r="G1570" s="332">
        <f t="shared" si="48"/>
        <v>5.2366567176806695E-6</v>
      </c>
      <c r="H1570" s="331">
        <v>883170</v>
      </c>
      <c r="I1570" s="331">
        <v>0</v>
      </c>
      <c r="J1570" s="331">
        <f t="shared" si="49"/>
        <v>883170</v>
      </c>
      <c r="K1570" s="199">
        <v>1.54</v>
      </c>
      <c r="L1570" s="199">
        <v>1.46</v>
      </c>
    </row>
    <row r="1571" spans="1:12" ht="15" customHeight="1" x14ac:dyDescent="0.25">
      <c r="A1571" s="49">
        <v>2001</v>
      </c>
      <c r="B1571" s="330" t="s">
        <v>45</v>
      </c>
      <c r="C1571" s="331">
        <v>67639278550</v>
      </c>
      <c r="D1571" s="331">
        <v>17750630451</v>
      </c>
      <c r="E1571" s="331">
        <v>272219751</v>
      </c>
      <c r="F1571" s="331">
        <v>565965</v>
      </c>
      <c r="G1571" s="332">
        <f t="shared" si="48"/>
        <v>8.367401488199345E-6</v>
      </c>
      <c r="H1571" s="331">
        <v>650664</v>
      </c>
      <c r="I1571" s="331">
        <v>0</v>
      </c>
      <c r="J1571" s="331">
        <f t="shared" si="49"/>
        <v>650664</v>
      </c>
      <c r="K1571" s="199">
        <v>1.53</v>
      </c>
      <c r="L1571" s="199">
        <v>1.36</v>
      </c>
    </row>
    <row r="1572" spans="1:12" ht="15" customHeight="1" x14ac:dyDescent="0.25">
      <c r="A1572" s="49">
        <v>2002</v>
      </c>
      <c r="B1572" s="330" t="s">
        <v>45</v>
      </c>
      <c r="C1572" s="331">
        <v>68599274847</v>
      </c>
      <c r="D1572" s="331">
        <v>17431436231</v>
      </c>
      <c r="E1572" s="331">
        <v>336015309</v>
      </c>
      <c r="F1572" s="331">
        <v>591051</v>
      </c>
      <c r="G1572" s="332">
        <f t="shared" si="48"/>
        <v>8.6159948675586905E-6</v>
      </c>
      <c r="H1572" s="331">
        <v>591697</v>
      </c>
      <c r="I1572" s="331">
        <v>0</v>
      </c>
      <c r="J1572" s="331">
        <f t="shared" si="49"/>
        <v>591697</v>
      </c>
      <c r="K1572" s="199">
        <v>1.93</v>
      </c>
      <c r="L1572" s="199">
        <v>1.36</v>
      </c>
    </row>
    <row r="1573" spans="1:12" ht="15" customHeight="1" x14ac:dyDescent="0.25">
      <c r="A1573" s="49">
        <v>2003</v>
      </c>
      <c r="B1573" s="330" t="s">
        <v>45</v>
      </c>
      <c r="C1573" s="331">
        <v>70580064495</v>
      </c>
      <c r="D1573" s="331">
        <v>17298710273</v>
      </c>
      <c r="E1573" s="331">
        <v>442958682</v>
      </c>
      <c r="F1573" s="331">
        <v>558679</v>
      </c>
      <c r="G1573" s="332">
        <f t="shared" si="48"/>
        <v>7.9155354135384456E-6</v>
      </c>
      <c r="H1573" s="331">
        <v>499035</v>
      </c>
      <c r="I1573" s="331">
        <v>0</v>
      </c>
      <c r="J1573" s="331">
        <f t="shared" si="49"/>
        <v>499035</v>
      </c>
      <c r="K1573" s="199">
        <v>2.56</v>
      </c>
      <c r="L1573" s="199">
        <v>1.36</v>
      </c>
    </row>
    <row r="1574" spans="1:12" ht="15" customHeight="1" x14ac:dyDescent="0.25">
      <c r="A1574" s="49">
        <v>2004</v>
      </c>
      <c r="B1574" s="330" t="s">
        <v>45</v>
      </c>
      <c r="C1574" s="331">
        <v>74775451787</v>
      </c>
      <c r="D1574" s="331">
        <v>17837533842</v>
      </c>
      <c r="E1574" s="331">
        <v>487710333</v>
      </c>
      <c r="F1574" s="331">
        <v>452395</v>
      </c>
      <c r="G1574" s="332">
        <f t="shared" si="48"/>
        <v>6.0500470299886652E-6</v>
      </c>
      <c r="H1574" s="331">
        <v>574448</v>
      </c>
      <c r="I1574" s="331">
        <v>0</v>
      </c>
      <c r="J1574" s="331">
        <f t="shared" si="49"/>
        <v>574448</v>
      </c>
      <c r="K1574" s="199">
        <v>2.73</v>
      </c>
      <c r="L1574" s="199">
        <v>1.36</v>
      </c>
    </row>
    <row r="1575" spans="1:12" ht="15" customHeight="1" x14ac:dyDescent="0.25">
      <c r="A1575" s="49">
        <v>2005</v>
      </c>
      <c r="B1575" s="330" t="s">
        <v>45</v>
      </c>
      <c r="C1575" s="331">
        <v>78250310376</v>
      </c>
      <c r="D1575" s="331">
        <v>18229352692</v>
      </c>
      <c r="E1575" s="331">
        <v>433810789</v>
      </c>
      <c r="F1575" s="331">
        <v>416993</v>
      </c>
      <c r="G1575" s="332">
        <f t="shared" si="48"/>
        <v>5.328962888406576E-6</v>
      </c>
      <c r="H1575" s="331">
        <v>634888</v>
      </c>
      <c r="I1575" s="331">
        <v>0</v>
      </c>
      <c r="J1575" s="331">
        <f t="shared" si="49"/>
        <v>634888</v>
      </c>
      <c r="K1575" s="199">
        <v>2.38</v>
      </c>
      <c r="L1575" s="199">
        <v>1.36</v>
      </c>
    </row>
    <row r="1576" spans="1:12" x14ac:dyDescent="0.25">
      <c r="A1576" s="49">
        <v>2006</v>
      </c>
      <c r="B1576" s="330" t="s">
        <v>45</v>
      </c>
      <c r="C1576" s="331">
        <v>83501064507</v>
      </c>
      <c r="D1576" s="331">
        <v>18659720690</v>
      </c>
      <c r="E1576" s="331">
        <v>360138608</v>
      </c>
      <c r="F1576" s="331">
        <v>390761</v>
      </c>
      <c r="G1576" s="332">
        <f t="shared" si="48"/>
        <v>4.6797127953649266E-6</v>
      </c>
      <c r="H1576" s="331">
        <v>634285</v>
      </c>
      <c r="I1576" s="331">
        <v>0</v>
      </c>
      <c r="J1576" s="331">
        <f t="shared" si="49"/>
        <v>634285</v>
      </c>
      <c r="K1576" s="199">
        <v>1.93</v>
      </c>
      <c r="L1576" s="199">
        <v>1.36</v>
      </c>
    </row>
    <row r="1577" spans="1:12" ht="15" customHeight="1" x14ac:dyDescent="0.25">
      <c r="A1577" s="49">
        <v>2007</v>
      </c>
      <c r="B1577" s="330" t="s">
        <v>45</v>
      </c>
      <c r="C1577" s="331">
        <v>87197147822</v>
      </c>
      <c r="D1577" s="331">
        <v>18854364356</v>
      </c>
      <c r="E1577" s="331">
        <v>347045048</v>
      </c>
      <c r="F1577" s="331">
        <v>424793</v>
      </c>
      <c r="G1577" s="332">
        <f t="shared" si="48"/>
        <v>4.8716387016138615E-6</v>
      </c>
      <c r="H1577" s="331">
        <v>566161</v>
      </c>
      <c r="I1577" s="331">
        <v>0</v>
      </c>
      <c r="J1577" s="331">
        <f t="shared" si="49"/>
        <v>566161</v>
      </c>
      <c r="K1577" s="199">
        <v>1.84</v>
      </c>
      <c r="L1577" s="199">
        <v>1.36</v>
      </c>
    </row>
    <row r="1578" spans="1:12" ht="15" customHeight="1" x14ac:dyDescent="0.25">
      <c r="A1578" s="49">
        <v>2008</v>
      </c>
      <c r="B1578" s="330" t="s">
        <v>45</v>
      </c>
      <c r="C1578" s="331">
        <v>87725991907</v>
      </c>
      <c r="D1578" s="331">
        <v>18502640311</v>
      </c>
      <c r="E1578" s="331">
        <v>386170398</v>
      </c>
      <c r="F1578" s="331">
        <v>548090</v>
      </c>
      <c r="G1578" s="332">
        <f t="shared" si="48"/>
        <v>6.2477492483760194E-6</v>
      </c>
      <c r="H1578" s="331">
        <v>438292</v>
      </c>
      <c r="I1578" s="331">
        <v>0</v>
      </c>
      <c r="J1578" s="331">
        <f t="shared" si="49"/>
        <v>438292</v>
      </c>
      <c r="K1578" s="199">
        <v>2.1</v>
      </c>
      <c r="L1578" s="199">
        <v>1.36</v>
      </c>
    </row>
    <row r="1579" spans="1:12" ht="15" customHeight="1" x14ac:dyDescent="0.25">
      <c r="A1579" s="49">
        <v>2009</v>
      </c>
      <c r="B1579" s="330" t="s">
        <v>45</v>
      </c>
      <c r="C1579" s="331">
        <v>81779120403</v>
      </c>
      <c r="D1579" s="331">
        <v>20121228281</v>
      </c>
      <c r="E1579" s="331">
        <v>633124363</v>
      </c>
      <c r="F1579" s="331">
        <v>1062775</v>
      </c>
      <c r="G1579" s="332">
        <f t="shared" si="48"/>
        <v>1.2995676583004835E-5</v>
      </c>
      <c r="H1579" s="331">
        <v>167600</v>
      </c>
      <c r="I1579" s="331">
        <v>0</v>
      </c>
      <c r="J1579" s="331">
        <f t="shared" si="49"/>
        <v>167600</v>
      </c>
      <c r="K1579" s="199">
        <v>3.1</v>
      </c>
      <c r="L1579" s="199">
        <v>1.02</v>
      </c>
    </row>
    <row r="1580" spans="1:12" ht="15" customHeight="1" x14ac:dyDescent="0.25">
      <c r="A1580" s="49">
        <v>2010</v>
      </c>
      <c r="B1580" s="330" t="s">
        <v>45</v>
      </c>
      <c r="C1580" s="331">
        <v>84299241961</v>
      </c>
      <c r="D1580" s="331">
        <v>20781730986</v>
      </c>
      <c r="E1580" s="331">
        <v>663853132</v>
      </c>
      <c r="F1580" s="331">
        <v>684130</v>
      </c>
      <c r="G1580" s="332">
        <f t="shared" si="48"/>
        <v>8.1154940908781165E-6</v>
      </c>
      <c r="H1580" s="331">
        <v>159482</v>
      </c>
      <c r="I1580" s="331">
        <v>0</v>
      </c>
      <c r="J1580" s="331">
        <f t="shared" si="49"/>
        <v>159482</v>
      </c>
      <c r="K1580" s="199">
        <v>3.2</v>
      </c>
      <c r="L1580" s="199">
        <v>1.02</v>
      </c>
    </row>
    <row r="1581" spans="1:12" ht="15" customHeight="1" x14ac:dyDescent="0.25">
      <c r="A1581" s="49">
        <v>2011</v>
      </c>
      <c r="B1581" s="330" t="s">
        <v>45</v>
      </c>
      <c r="C1581" s="331">
        <v>87927727429</v>
      </c>
      <c r="D1581" s="331">
        <v>21398620609</v>
      </c>
      <c r="E1581" s="331">
        <v>717649819</v>
      </c>
      <c r="F1581" s="331">
        <v>572680</v>
      </c>
      <c r="G1581" s="332">
        <f t="shared" si="48"/>
        <v>6.5130763269462233E-6</v>
      </c>
      <c r="H1581" s="331">
        <v>311083</v>
      </c>
      <c r="I1581" s="331">
        <v>0</v>
      </c>
      <c r="J1581" s="331">
        <f t="shared" si="49"/>
        <v>311083</v>
      </c>
      <c r="K1581" s="199">
        <v>3.4</v>
      </c>
      <c r="L1581" s="199">
        <v>1.02</v>
      </c>
    </row>
    <row r="1582" spans="1:12" ht="15" customHeight="1" x14ac:dyDescent="0.25">
      <c r="A1582" s="49">
        <v>2012</v>
      </c>
      <c r="B1582" s="330" t="s">
        <v>45</v>
      </c>
      <c r="C1582" s="331">
        <v>93807303169</v>
      </c>
      <c r="D1582" s="331">
        <v>22171777268</v>
      </c>
      <c r="E1582" s="331">
        <v>703793387</v>
      </c>
      <c r="F1582" s="331">
        <v>494191</v>
      </c>
      <c r="G1582" s="332">
        <f t="shared" si="48"/>
        <v>5.2681505949454971E-6</v>
      </c>
      <c r="H1582" s="331">
        <v>547167</v>
      </c>
      <c r="I1582" s="331">
        <v>0</v>
      </c>
      <c r="J1582" s="331">
        <f t="shared" si="49"/>
        <v>547167</v>
      </c>
      <c r="K1582" s="199">
        <v>3.17</v>
      </c>
      <c r="L1582" s="199">
        <v>1.02</v>
      </c>
    </row>
    <row r="1583" spans="1:12" ht="15" customHeight="1" x14ac:dyDescent="0.25">
      <c r="A1583" s="49">
        <v>2013</v>
      </c>
      <c r="B1583" s="330" t="s">
        <v>45</v>
      </c>
      <c r="C1583" s="331">
        <v>95712913621</v>
      </c>
      <c r="D1583" s="331">
        <v>22644936806</v>
      </c>
      <c r="E1583" s="331">
        <v>555366115</v>
      </c>
      <c r="F1583" s="331">
        <v>447643</v>
      </c>
      <c r="G1583" s="332">
        <f t="shared" si="48"/>
        <v>4.676934209448038E-6</v>
      </c>
      <c r="H1583" s="331">
        <v>770978</v>
      </c>
      <c r="I1583" s="331">
        <v>0</v>
      </c>
      <c r="J1583" s="331">
        <f t="shared" si="49"/>
        <v>770978</v>
      </c>
      <c r="K1583" s="199">
        <v>2.4500000000000002</v>
      </c>
      <c r="L1583" s="199">
        <v>1.02</v>
      </c>
    </row>
    <row r="1584" spans="1:12" ht="15" customHeight="1" x14ac:dyDescent="0.25">
      <c r="A1584" s="49">
        <v>2014</v>
      </c>
      <c r="B1584" s="330" t="s">
        <v>45</v>
      </c>
      <c r="C1584" s="331">
        <v>100633535999</v>
      </c>
      <c r="D1584" s="331">
        <v>23574250017</v>
      </c>
      <c r="E1584" s="331">
        <v>338391038</v>
      </c>
      <c r="F1584" s="331">
        <v>339920</v>
      </c>
      <c r="G1584" s="332">
        <f t="shared" si="48"/>
        <v>3.3778004183752205E-6</v>
      </c>
      <c r="H1584" s="331">
        <v>833520</v>
      </c>
      <c r="I1584" s="331">
        <v>0</v>
      </c>
      <c r="J1584" s="331">
        <f t="shared" si="49"/>
        <v>833520</v>
      </c>
      <c r="K1584" s="333">
        <v>1.4354265257896963</v>
      </c>
      <c r="L1584" s="199">
        <v>1.02</v>
      </c>
    </row>
    <row r="1585" spans="1:12" ht="15" customHeight="1" x14ac:dyDescent="0.25">
      <c r="A1585" s="49">
        <v>2015</v>
      </c>
      <c r="B1585" s="330" t="s">
        <v>45</v>
      </c>
      <c r="C1585" s="334">
        <v>107376119000</v>
      </c>
      <c r="D1585" s="334">
        <v>24709860000</v>
      </c>
      <c r="E1585" s="334">
        <v>338798000</v>
      </c>
      <c r="F1585" s="331">
        <v>284130</v>
      </c>
      <c r="G1585" s="332">
        <f t="shared" si="48"/>
        <v>2.6461191058693414E-6</v>
      </c>
      <c r="H1585" s="331">
        <v>915945</v>
      </c>
      <c r="I1585" s="199">
        <v>0</v>
      </c>
      <c r="J1585" s="331">
        <f t="shared" si="49"/>
        <v>915945</v>
      </c>
      <c r="K1585" s="199">
        <v>1.3</v>
      </c>
      <c r="L1585" s="199">
        <v>1.02</v>
      </c>
    </row>
    <row r="1586" spans="1:12" ht="15" customHeight="1" x14ac:dyDescent="0.25">
      <c r="A1586" s="49">
        <v>1980</v>
      </c>
      <c r="B1586" s="330" t="s">
        <v>46</v>
      </c>
      <c r="C1586" s="331">
        <v>71312662929</v>
      </c>
      <c r="D1586" s="331">
        <v>31502569727</v>
      </c>
      <c r="E1586" s="331">
        <v>95063902</v>
      </c>
      <c r="F1586" s="331">
        <v>251575</v>
      </c>
      <c r="G1586" s="332">
        <f t="shared" si="48"/>
        <v>3.5277745868285971E-6</v>
      </c>
      <c r="H1586" s="331">
        <v>274701</v>
      </c>
      <c r="I1586" s="331">
        <v>0</v>
      </c>
      <c r="J1586" s="331">
        <f t="shared" si="49"/>
        <v>274701</v>
      </c>
      <c r="K1586" s="199">
        <v>0.3</v>
      </c>
      <c r="L1586" s="199">
        <v>0.73</v>
      </c>
    </row>
    <row r="1587" spans="1:12" ht="15" customHeight="1" x14ac:dyDescent="0.25">
      <c r="A1587" s="49">
        <v>1981</v>
      </c>
      <c r="B1587" s="330" t="s">
        <v>46</v>
      </c>
      <c r="C1587" s="331">
        <v>84688535633</v>
      </c>
      <c r="D1587" s="331">
        <v>34716407553</v>
      </c>
      <c r="E1587" s="331">
        <v>207564064</v>
      </c>
      <c r="F1587" s="331">
        <v>239954</v>
      </c>
      <c r="G1587" s="332">
        <f t="shared" si="48"/>
        <v>2.833370517112812E-6</v>
      </c>
      <c r="H1587" s="331">
        <v>253841</v>
      </c>
      <c r="I1587" s="331">
        <v>0</v>
      </c>
      <c r="J1587" s="331">
        <f t="shared" si="49"/>
        <v>253841</v>
      </c>
      <c r="K1587" s="199">
        <v>0.6</v>
      </c>
      <c r="L1587" s="199">
        <v>0.67</v>
      </c>
    </row>
    <row r="1588" spans="1:12" ht="15" customHeight="1" x14ac:dyDescent="0.25">
      <c r="A1588" s="49">
        <v>1982</v>
      </c>
      <c r="B1588" s="330" t="s">
        <v>46</v>
      </c>
      <c r="C1588" s="331">
        <v>91738509724</v>
      </c>
      <c r="D1588" s="331">
        <v>35093797872</v>
      </c>
      <c r="E1588" s="331">
        <v>214305714</v>
      </c>
      <c r="F1588" s="331">
        <v>634462</v>
      </c>
      <c r="G1588" s="332">
        <f t="shared" si="48"/>
        <v>6.9159832867223523E-6</v>
      </c>
      <c r="H1588" s="331">
        <v>401</v>
      </c>
      <c r="I1588" s="331">
        <v>142863</v>
      </c>
      <c r="J1588" s="331">
        <f t="shared" si="49"/>
        <v>-142462</v>
      </c>
      <c r="K1588" s="199">
        <v>0.61</v>
      </c>
      <c r="L1588" s="199">
        <v>0.68</v>
      </c>
    </row>
    <row r="1589" spans="1:12" ht="15" customHeight="1" x14ac:dyDescent="0.25">
      <c r="A1589" s="49">
        <v>1983</v>
      </c>
      <c r="B1589" s="330" t="s">
        <v>46</v>
      </c>
      <c r="C1589" s="331">
        <v>92717768409</v>
      </c>
      <c r="D1589" s="331">
        <v>37690362740</v>
      </c>
      <c r="E1589" s="331">
        <v>400359653</v>
      </c>
      <c r="F1589" s="331">
        <v>934496</v>
      </c>
      <c r="G1589" s="332">
        <f t="shared" si="48"/>
        <v>1.0078931104960563E-5</v>
      </c>
      <c r="H1589" s="331">
        <v>0</v>
      </c>
      <c r="I1589" s="331">
        <v>696274</v>
      </c>
      <c r="J1589" s="331">
        <f t="shared" si="49"/>
        <v>-696274</v>
      </c>
      <c r="K1589" s="199">
        <v>1.06</v>
      </c>
      <c r="L1589" s="199">
        <v>0.77</v>
      </c>
    </row>
    <row r="1590" spans="1:12" ht="15" customHeight="1" x14ac:dyDescent="0.25">
      <c r="A1590" s="49">
        <v>1984</v>
      </c>
      <c r="B1590" s="330" t="s">
        <v>46</v>
      </c>
      <c r="C1590" s="331">
        <v>101136472214</v>
      </c>
      <c r="D1590" s="331">
        <v>40166023683</v>
      </c>
      <c r="E1590" s="331">
        <v>864084505</v>
      </c>
      <c r="F1590" s="331">
        <v>564566</v>
      </c>
      <c r="G1590" s="332">
        <f t="shared" si="48"/>
        <v>5.5822196250369993E-6</v>
      </c>
      <c r="H1590" s="331">
        <v>0</v>
      </c>
      <c r="I1590" s="331">
        <v>416289</v>
      </c>
      <c r="J1590" s="331">
        <f t="shared" si="49"/>
        <v>-416289</v>
      </c>
      <c r="K1590" s="199">
        <v>2.15</v>
      </c>
      <c r="L1590" s="199">
        <v>0.77</v>
      </c>
    </row>
    <row r="1591" spans="1:12" ht="15" customHeight="1" x14ac:dyDescent="0.25">
      <c r="A1591" s="49">
        <v>1985</v>
      </c>
      <c r="B1591" s="330" t="s">
        <v>46</v>
      </c>
      <c r="C1591" s="331">
        <v>107548400523</v>
      </c>
      <c r="D1591" s="331">
        <v>41410955204</v>
      </c>
      <c r="E1591" s="331">
        <v>842798867</v>
      </c>
      <c r="F1591" s="331">
        <v>644033</v>
      </c>
      <c r="G1591" s="332">
        <f t="shared" si="48"/>
        <v>5.9883084905783321E-6</v>
      </c>
      <c r="H1591" s="331">
        <v>2995</v>
      </c>
      <c r="I1591" s="331">
        <v>0</v>
      </c>
      <c r="J1591" s="331">
        <f t="shared" si="49"/>
        <v>2995</v>
      </c>
      <c r="K1591" s="199">
        <v>2.04</v>
      </c>
      <c r="L1591" s="199">
        <v>0.77</v>
      </c>
    </row>
    <row r="1592" spans="1:12" ht="15" customHeight="1" x14ac:dyDescent="0.25">
      <c r="A1592" s="49">
        <v>1986</v>
      </c>
      <c r="B1592" s="330" t="s">
        <v>46</v>
      </c>
      <c r="C1592" s="331">
        <v>106152665075</v>
      </c>
      <c r="D1592" s="331">
        <v>39994100354</v>
      </c>
      <c r="E1592" s="331">
        <v>817318802</v>
      </c>
      <c r="F1592" s="331">
        <v>1204853</v>
      </c>
      <c r="G1592" s="332">
        <f t="shared" si="48"/>
        <v>1.1350190776168791E-5</v>
      </c>
      <c r="H1592" s="331">
        <v>0</v>
      </c>
      <c r="I1592" s="331">
        <v>365640</v>
      </c>
      <c r="J1592" s="331">
        <f t="shared" si="49"/>
        <v>-365640</v>
      </c>
      <c r="K1592" s="199">
        <v>2.04</v>
      </c>
      <c r="L1592" s="199">
        <v>0.95</v>
      </c>
    </row>
    <row r="1593" spans="1:12" ht="15" customHeight="1" x14ac:dyDescent="0.25">
      <c r="A1593" s="49">
        <v>1987</v>
      </c>
      <c r="B1593" s="330" t="s">
        <v>46</v>
      </c>
      <c r="C1593" s="331">
        <v>107257939904</v>
      </c>
      <c r="D1593" s="331">
        <v>39366634314</v>
      </c>
      <c r="E1593" s="331">
        <v>951735106</v>
      </c>
      <c r="F1593" s="331">
        <v>1060277</v>
      </c>
      <c r="G1593" s="332">
        <f t="shared" si="48"/>
        <v>9.8853008080239918E-6</v>
      </c>
      <c r="H1593" s="331">
        <v>0</v>
      </c>
      <c r="I1593" s="331">
        <v>513727</v>
      </c>
      <c r="J1593" s="331">
        <f t="shared" si="49"/>
        <v>-513727</v>
      </c>
      <c r="K1593" s="199">
        <v>2.42</v>
      </c>
      <c r="L1593" s="199">
        <v>1.05</v>
      </c>
    </row>
    <row r="1594" spans="1:12" ht="15" customHeight="1" x14ac:dyDescent="0.25">
      <c r="A1594" s="49">
        <v>1988</v>
      </c>
      <c r="B1594" s="330" t="s">
        <v>46</v>
      </c>
      <c r="C1594" s="331">
        <v>113352024994</v>
      </c>
      <c r="D1594" s="331">
        <v>43771156498</v>
      </c>
      <c r="E1594" s="331">
        <v>1571514499</v>
      </c>
      <c r="F1594" s="331">
        <v>752722</v>
      </c>
      <c r="G1594" s="332">
        <f t="shared" si="48"/>
        <v>6.6405695005434922E-6</v>
      </c>
      <c r="H1594" s="331">
        <v>272333</v>
      </c>
      <c r="I1594" s="331">
        <v>0</v>
      </c>
      <c r="J1594" s="331">
        <f t="shared" si="49"/>
        <v>272333</v>
      </c>
      <c r="K1594" s="199">
        <v>3.59</v>
      </c>
      <c r="L1594" s="199">
        <v>1.05</v>
      </c>
    </row>
    <row r="1595" spans="1:12" ht="15" customHeight="1" x14ac:dyDescent="0.25">
      <c r="A1595" s="49">
        <v>1989</v>
      </c>
      <c r="B1595" s="330" t="s">
        <v>46</v>
      </c>
      <c r="C1595" s="331">
        <v>118830041830</v>
      </c>
      <c r="D1595" s="331">
        <v>48330990965</v>
      </c>
      <c r="E1595" s="331">
        <v>1326491064</v>
      </c>
      <c r="F1595" s="331">
        <v>711343</v>
      </c>
      <c r="G1595" s="332">
        <f t="shared" si="48"/>
        <v>5.9862219102611924E-6</v>
      </c>
      <c r="H1595" s="331">
        <v>988715</v>
      </c>
      <c r="I1595" s="331">
        <v>0</v>
      </c>
      <c r="J1595" s="331">
        <f t="shared" si="49"/>
        <v>988715</v>
      </c>
      <c r="K1595" s="199">
        <v>2.74</v>
      </c>
      <c r="L1595" s="199">
        <v>1.05</v>
      </c>
    </row>
    <row r="1596" spans="1:12" ht="15" customHeight="1" x14ac:dyDescent="0.25">
      <c r="A1596" s="49">
        <v>1990</v>
      </c>
      <c r="B1596" s="330" t="s">
        <v>46</v>
      </c>
      <c r="C1596" s="331">
        <v>128453538360</v>
      </c>
      <c r="D1596" s="331">
        <v>50799317509</v>
      </c>
      <c r="E1596" s="331">
        <v>881033546</v>
      </c>
      <c r="F1596" s="331">
        <v>735973</v>
      </c>
      <c r="G1596" s="332">
        <f t="shared" si="48"/>
        <v>5.7294879486883759E-6</v>
      </c>
      <c r="H1596" s="331">
        <v>1286101</v>
      </c>
      <c r="I1596" s="331">
        <v>0</v>
      </c>
      <c r="J1596" s="331">
        <f t="shared" si="49"/>
        <v>1286101</v>
      </c>
      <c r="K1596" s="199">
        <v>1.73</v>
      </c>
      <c r="L1596" s="199">
        <v>1.05</v>
      </c>
    </row>
    <row r="1597" spans="1:12" ht="15" customHeight="1" x14ac:dyDescent="0.25">
      <c r="A1597" s="49">
        <v>1991</v>
      </c>
      <c r="B1597" s="330" t="s">
        <v>46</v>
      </c>
      <c r="C1597" s="331">
        <v>135846528671</v>
      </c>
      <c r="D1597" s="331">
        <v>52093697744</v>
      </c>
      <c r="E1597" s="331">
        <v>740714914</v>
      </c>
      <c r="F1597" s="331">
        <v>957076</v>
      </c>
      <c r="G1597" s="332">
        <f t="shared" si="48"/>
        <v>7.0452738790101516E-6</v>
      </c>
      <c r="H1597" s="331">
        <v>942734</v>
      </c>
      <c r="I1597" s="331">
        <v>0</v>
      </c>
      <c r="J1597" s="331">
        <f t="shared" si="49"/>
        <v>942734</v>
      </c>
      <c r="K1597" s="199">
        <v>1.42</v>
      </c>
      <c r="L1597" s="199">
        <v>1.05</v>
      </c>
    </row>
    <row r="1598" spans="1:12" ht="15" customHeight="1" x14ac:dyDescent="0.25">
      <c r="A1598" s="49">
        <v>1992</v>
      </c>
      <c r="B1598" s="330" t="s">
        <v>46</v>
      </c>
      <c r="C1598" s="331">
        <v>144503575819</v>
      </c>
      <c r="D1598" s="331">
        <v>52817406963</v>
      </c>
      <c r="E1598" s="331">
        <v>767250469</v>
      </c>
      <c r="F1598" s="331">
        <v>1123422</v>
      </c>
      <c r="G1598" s="332">
        <f t="shared" si="48"/>
        <v>7.7743543274469425E-6</v>
      </c>
      <c r="H1598" s="331">
        <v>586472</v>
      </c>
      <c r="I1598" s="331">
        <v>0</v>
      </c>
      <c r="J1598" s="331">
        <f t="shared" si="49"/>
        <v>586472</v>
      </c>
      <c r="K1598" s="199">
        <v>1.45</v>
      </c>
      <c r="L1598" s="199">
        <v>1.05</v>
      </c>
    </row>
    <row r="1599" spans="1:12" ht="15" customHeight="1" x14ac:dyDescent="0.25">
      <c r="A1599" s="49">
        <v>1993</v>
      </c>
      <c r="B1599" s="330" t="s">
        <v>46</v>
      </c>
      <c r="C1599" s="331">
        <v>150939510577</v>
      </c>
      <c r="D1599" s="331">
        <v>54489269104</v>
      </c>
      <c r="E1599" s="331">
        <v>859485035</v>
      </c>
      <c r="F1599" s="331">
        <v>1042625</v>
      </c>
      <c r="G1599" s="332">
        <f t="shared" si="48"/>
        <v>6.907568442578971E-6</v>
      </c>
      <c r="H1599" s="331">
        <v>445633</v>
      </c>
      <c r="I1599" s="331">
        <v>0</v>
      </c>
      <c r="J1599" s="331">
        <f t="shared" si="49"/>
        <v>445633</v>
      </c>
      <c r="K1599" s="199">
        <v>1.58</v>
      </c>
      <c r="L1599" s="199">
        <v>1.05</v>
      </c>
    </row>
    <row r="1600" spans="1:12" ht="15" customHeight="1" x14ac:dyDescent="0.25">
      <c r="A1600" s="49">
        <v>1994</v>
      </c>
      <c r="B1600" s="330" t="s">
        <v>46</v>
      </c>
      <c r="C1600" s="331">
        <v>160328449391</v>
      </c>
      <c r="D1600" s="331">
        <v>56937110198</v>
      </c>
      <c r="E1600" s="331">
        <v>987345367</v>
      </c>
      <c r="F1600" s="331">
        <v>974843</v>
      </c>
      <c r="G1600" s="332">
        <f t="shared" si="48"/>
        <v>6.0802870838138512E-6</v>
      </c>
      <c r="H1600" s="331">
        <v>480322</v>
      </c>
      <c r="I1600" s="331">
        <v>0</v>
      </c>
      <c r="J1600" s="331">
        <f t="shared" si="49"/>
        <v>480322</v>
      </c>
      <c r="K1600" s="199">
        <v>1.73</v>
      </c>
      <c r="L1600" s="199">
        <v>1.05</v>
      </c>
    </row>
    <row r="1601" spans="1:12" ht="15" customHeight="1" x14ac:dyDescent="0.25">
      <c r="A1601" s="49">
        <v>1995</v>
      </c>
      <c r="B1601" s="330" t="s">
        <v>46</v>
      </c>
      <c r="C1601" s="331">
        <v>172366343103</v>
      </c>
      <c r="D1601" s="331">
        <v>60010581931</v>
      </c>
      <c r="E1601" s="331">
        <v>1033525952</v>
      </c>
      <c r="F1601" s="331">
        <v>930927</v>
      </c>
      <c r="G1601" s="332">
        <f t="shared" si="48"/>
        <v>5.4008629715124319E-6</v>
      </c>
      <c r="H1601" s="331">
        <v>584866</v>
      </c>
      <c r="I1601" s="331">
        <v>0</v>
      </c>
      <c r="J1601" s="331">
        <f t="shared" si="49"/>
        <v>584866</v>
      </c>
      <c r="K1601" s="199">
        <v>1.72</v>
      </c>
      <c r="L1601" s="199">
        <v>1.05</v>
      </c>
    </row>
    <row r="1602" spans="1:12" ht="15" customHeight="1" x14ac:dyDescent="0.25">
      <c r="A1602" s="49">
        <v>1996</v>
      </c>
      <c r="B1602" s="330" t="s">
        <v>46</v>
      </c>
      <c r="C1602" s="331">
        <v>186595624448</v>
      </c>
      <c r="D1602" s="331">
        <v>62939417875</v>
      </c>
      <c r="E1602" s="331">
        <v>963646065</v>
      </c>
      <c r="F1602" s="331">
        <v>920387</v>
      </c>
      <c r="G1602" s="332">
        <f t="shared" ref="G1602:G1665" si="50">F1602/C1602</f>
        <v>4.9325218783814043E-6</v>
      </c>
      <c r="H1602" s="331">
        <v>642233</v>
      </c>
      <c r="I1602" s="331">
        <v>0</v>
      </c>
      <c r="J1602" s="331">
        <f t="shared" ref="J1602:J1665" si="51">H1602-I1602</f>
        <v>642233</v>
      </c>
      <c r="K1602" s="199">
        <v>1.53</v>
      </c>
      <c r="L1602" s="199">
        <v>1.05</v>
      </c>
    </row>
    <row r="1603" spans="1:12" ht="15" customHeight="1" x14ac:dyDescent="0.25">
      <c r="A1603" s="49">
        <v>1997</v>
      </c>
      <c r="B1603" s="330" t="s">
        <v>46</v>
      </c>
      <c r="C1603" s="331">
        <v>207801852944</v>
      </c>
      <c r="D1603" s="331">
        <v>68095783639</v>
      </c>
      <c r="E1603" s="331">
        <v>986667630</v>
      </c>
      <c r="F1603" s="331">
        <v>893781</v>
      </c>
      <c r="G1603" s="332">
        <f t="shared" si="50"/>
        <v>4.3011214160870013E-6</v>
      </c>
      <c r="H1603" s="331">
        <v>706577</v>
      </c>
      <c r="I1603" s="331">
        <v>0</v>
      </c>
      <c r="J1603" s="331">
        <f t="shared" si="51"/>
        <v>706577</v>
      </c>
      <c r="K1603" s="199">
        <v>1.45</v>
      </c>
      <c r="L1603" s="199">
        <v>1.05</v>
      </c>
    </row>
    <row r="1604" spans="1:12" ht="15" customHeight="1" x14ac:dyDescent="0.25">
      <c r="A1604" s="49">
        <v>1998</v>
      </c>
      <c r="B1604" s="330" t="s">
        <v>46</v>
      </c>
      <c r="C1604" s="331">
        <v>231072135169</v>
      </c>
      <c r="D1604" s="331">
        <v>71826570397</v>
      </c>
      <c r="E1604" s="331">
        <v>989750101</v>
      </c>
      <c r="F1604" s="331">
        <v>888602</v>
      </c>
      <c r="G1604" s="332">
        <f t="shared" si="50"/>
        <v>3.8455610381152198E-6</v>
      </c>
      <c r="H1604" s="331">
        <v>805056</v>
      </c>
      <c r="I1604" s="331">
        <v>0</v>
      </c>
      <c r="J1604" s="331">
        <f t="shared" si="51"/>
        <v>805056</v>
      </c>
      <c r="K1604" s="199">
        <v>1.38</v>
      </c>
      <c r="L1604" s="199">
        <v>1.05</v>
      </c>
    </row>
    <row r="1605" spans="1:12" ht="15" customHeight="1" x14ac:dyDescent="0.25">
      <c r="A1605" s="49">
        <v>1999</v>
      </c>
      <c r="B1605" s="330" t="s">
        <v>46</v>
      </c>
      <c r="C1605" s="331">
        <v>246986886599</v>
      </c>
      <c r="D1605" s="331">
        <v>74248076249</v>
      </c>
      <c r="E1605" s="331">
        <v>902070995</v>
      </c>
      <c r="F1605" s="331">
        <v>1140351</v>
      </c>
      <c r="G1605" s="332">
        <f t="shared" si="50"/>
        <v>4.6170507904390788E-6</v>
      </c>
      <c r="H1605" s="331">
        <v>652291</v>
      </c>
      <c r="I1605" s="331">
        <v>0</v>
      </c>
      <c r="J1605" s="331">
        <f t="shared" si="51"/>
        <v>652291</v>
      </c>
      <c r="K1605" s="199">
        <v>1.21</v>
      </c>
      <c r="L1605" s="199">
        <v>1.05</v>
      </c>
    </row>
    <row r="1606" spans="1:12" ht="15" customHeight="1" x14ac:dyDescent="0.25">
      <c r="A1606" s="49">
        <v>2000</v>
      </c>
      <c r="B1606" s="330" t="s">
        <v>46</v>
      </c>
      <c r="C1606" s="331">
        <v>271253849898</v>
      </c>
      <c r="D1606" s="331">
        <v>78146271091</v>
      </c>
      <c r="E1606" s="331">
        <v>996349894</v>
      </c>
      <c r="F1606" s="331">
        <v>940474</v>
      </c>
      <c r="G1606" s="332">
        <f t="shared" si="50"/>
        <v>3.4671360437967897E-6</v>
      </c>
      <c r="H1606" s="331">
        <v>742276</v>
      </c>
      <c r="I1606" s="331">
        <v>0</v>
      </c>
      <c r="J1606" s="331">
        <f t="shared" si="51"/>
        <v>742276</v>
      </c>
      <c r="K1606" s="199">
        <v>1.28</v>
      </c>
      <c r="L1606" s="199">
        <v>1.05</v>
      </c>
    </row>
    <row r="1607" spans="1:12" ht="15" customHeight="1" x14ac:dyDescent="0.25">
      <c r="A1607" s="49">
        <v>2001</v>
      </c>
      <c r="B1607" s="330" t="s">
        <v>46</v>
      </c>
      <c r="C1607" s="331">
        <v>280927717168</v>
      </c>
      <c r="D1607" s="331">
        <v>78015834654</v>
      </c>
      <c r="E1607" s="331">
        <v>932017607</v>
      </c>
      <c r="F1607" s="331">
        <v>1492925</v>
      </c>
      <c r="G1607" s="332">
        <f t="shared" si="50"/>
        <v>5.3142673675990581E-6</v>
      </c>
      <c r="H1607" s="331">
        <v>439831</v>
      </c>
      <c r="I1607" s="331">
        <v>0</v>
      </c>
      <c r="J1607" s="331">
        <f t="shared" si="51"/>
        <v>439831</v>
      </c>
      <c r="K1607" s="199">
        <v>1.19</v>
      </c>
      <c r="L1607" s="199">
        <v>1.05</v>
      </c>
    </row>
    <row r="1608" spans="1:12" ht="15" customHeight="1" x14ac:dyDescent="0.25">
      <c r="A1608" s="49">
        <v>2002</v>
      </c>
      <c r="B1608" s="330" t="s">
        <v>46</v>
      </c>
      <c r="C1608" s="331">
        <v>275380778868</v>
      </c>
      <c r="D1608" s="331">
        <v>75989022894</v>
      </c>
      <c r="E1608" s="331">
        <v>1018412656</v>
      </c>
      <c r="F1608" s="331">
        <v>2172491</v>
      </c>
      <c r="G1608" s="332">
        <f t="shared" si="50"/>
        <v>7.8890437049760601E-6</v>
      </c>
      <c r="H1608" s="331">
        <v>153</v>
      </c>
      <c r="I1608" s="331">
        <v>112595</v>
      </c>
      <c r="J1608" s="331">
        <f t="shared" si="51"/>
        <v>-112442</v>
      </c>
      <c r="K1608" s="199">
        <v>1.34</v>
      </c>
      <c r="L1608" s="199">
        <v>1.05</v>
      </c>
    </row>
    <row r="1609" spans="1:12" ht="15" customHeight="1" x14ac:dyDescent="0.25">
      <c r="A1609" s="49">
        <v>2003</v>
      </c>
      <c r="B1609" s="330" t="s">
        <v>46</v>
      </c>
      <c r="C1609" s="331">
        <v>277493029486</v>
      </c>
      <c r="D1609" s="331">
        <v>74657595566</v>
      </c>
      <c r="E1609" s="331">
        <v>1680164367</v>
      </c>
      <c r="F1609" s="331">
        <v>2108303</v>
      </c>
      <c r="G1609" s="332">
        <f t="shared" si="50"/>
        <v>7.5976791341577379E-6</v>
      </c>
      <c r="H1609" s="331">
        <v>771831</v>
      </c>
      <c r="I1609" s="331">
        <v>0</v>
      </c>
      <c r="J1609" s="331">
        <f t="shared" si="51"/>
        <v>771831</v>
      </c>
      <c r="K1609" s="199">
        <v>2.25</v>
      </c>
      <c r="L1609" s="199">
        <v>1.05</v>
      </c>
    </row>
    <row r="1610" spans="1:12" ht="15" customHeight="1" x14ac:dyDescent="0.25">
      <c r="A1610" s="49">
        <v>2004</v>
      </c>
      <c r="B1610" s="330" t="s">
        <v>46</v>
      </c>
      <c r="C1610" s="331">
        <v>293760718603</v>
      </c>
      <c r="D1610" s="331">
        <v>76374258958</v>
      </c>
      <c r="E1610" s="331">
        <v>1829871597</v>
      </c>
      <c r="F1610" s="331">
        <v>1574486</v>
      </c>
      <c r="G1610" s="332">
        <f t="shared" si="50"/>
        <v>5.3597567690043115E-6</v>
      </c>
      <c r="H1610" s="331">
        <v>773900</v>
      </c>
      <c r="I1610" s="331">
        <v>0</v>
      </c>
      <c r="J1610" s="331">
        <f t="shared" si="51"/>
        <v>773900</v>
      </c>
      <c r="K1610" s="199">
        <v>2.4</v>
      </c>
      <c r="L1610" s="199">
        <v>1.05</v>
      </c>
    </row>
    <row r="1611" spans="1:12" x14ac:dyDescent="0.25">
      <c r="A1611" s="49">
        <v>2005</v>
      </c>
      <c r="B1611" s="330" t="s">
        <v>46</v>
      </c>
      <c r="C1611" s="331">
        <v>316791430786</v>
      </c>
      <c r="D1611" s="331">
        <v>79731522543</v>
      </c>
      <c r="E1611" s="331">
        <v>2014175039</v>
      </c>
      <c r="F1611" s="331">
        <v>1175247</v>
      </c>
      <c r="G1611" s="332">
        <f t="shared" si="50"/>
        <v>3.7098446668335127E-6</v>
      </c>
      <c r="H1611" s="331">
        <v>1328386</v>
      </c>
      <c r="I1611" s="331">
        <v>0</v>
      </c>
      <c r="J1611" s="331">
        <f t="shared" si="51"/>
        <v>1328386</v>
      </c>
      <c r="K1611" s="199">
        <v>2.5299999999999998</v>
      </c>
      <c r="L1611" s="199">
        <v>1.05</v>
      </c>
    </row>
    <row r="1612" spans="1:12" ht="15" customHeight="1" x14ac:dyDescent="0.25">
      <c r="A1612" s="49">
        <v>2006</v>
      </c>
      <c r="B1612" s="330" t="s">
        <v>46</v>
      </c>
      <c r="C1612" s="331">
        <v>348785434251</v>
      </c>
      <c r="D1612" s="331">
        <v>84430446369</v>
      </c>
      <c r="E1612" s="331">
        <v>1914788848</v>
      </c>
      <c r="F1612" s="331">
        <v>1011729</v>
      </c>
      <c r="G1612" s="332">
        <f t="shared" si="50"/>
        <v>2.9007203301727306E-6</v>
      </c>
      <c r="H1612" s="331">
        <v>1964805</v>
      </c>
      <c r="I1612" s="331">
        <v>0</v>
      </c>
      <c r="J1612" s="331">
        <f t="shared" si="51"/>
        <v>1964805</v>
      </c>
      <c r="K1612" s="199">
        <v>2.27</v>
      </c>
      <c r="L1612" s="199">
        <v>1.05</v>
      </c>
    </row>
    <row r="1613" spans="1:12" ht="15" customHeight="1" x14ac:dyDescent="0.25">
      <c r="A1613" s="49">
        <v>2007</v>
      </c>
      <c r="B1613" s="330" t="s">
        <v>46</v>
      </c>
      <c r="C1613" s="331">
        <v>379732606668</v>
      </c>
      <c r="D1613" s="331">
        <v>88521373552</v>
      </c>
      <c r="E1613" s="331">
        <v>1694272566</v>
      </c>
      <c r="F1613" s="331">
        <v>1056279</v>
      </c>
      <c r="G1613" s="332">
        <f t="shared" si="50"/>
        <v>2.7816389255282049E-6</v>
      </c>
      <c r="H1613" s="331">
        <v>1774694</v>
      </c>
      <c r="I1613" s="331">
        <v>0</v>
      </c>
      <c r="J1613" s="331">
        <f t="shared" si="51"/>
        <v>1774694</v>
      </c>
      <c r="K1613" s="199">
        <v>1.91</v>
      </c>
      <c r="L1613" s="199">
        <v>1.05</v>
      </c>
    </row>
    <row r="1614" spans="1:12" ht="15" customHeight="1" x14ac:dyDescent="0.25">
      <c r="A1614" s="49">
        <v>2008</v>
      </c>
      <c r="B1614" s="330" t="s">
        <v>46</v>
      </c>
      <c r="C1614" s="331">
        <v>397628316667</v>
      </c>
      <c r="D1614" s="331">
        <v>90225138773</v>
      </c>
      <c r="E1614" s="331">
        <v>1071924176</v>
      </c>
      <c r="F1614" s="331">
        <v>1487454</v>
      </c>
      <c r="G1614" s="332">
        <f t="shared" si="50"/>
        <v>3.7408150718946192E-6</v>
      </c>
      <c r="H1614" s="331">
        <v>1313253</v>
      </c>
      <c r="I1614" s="331">
        <v>0</v>
      </c>
      <c r="J1614" s="331">
        <f t="shared" si="51"/>
        <v>1313253</v>
      </c>
      <c r="K1614" s="199">
        <v>1.2</v>
      </c>
      <c r="L1614" s="199">
        <v>1.05</v>
      </c>
    </row>
    <row r="1615" spans="1:12" ht="15" customHeight="1" x14ac:dyDescent="0.25">
      <c r="A1615" s="49">
        <v>2009</v>
      </c>
      <c r="B1615" s="330" t="s">
        <v>46</v>
      </c>
      <c r="C1615" s="331">
        <v>376460489624</v>
      </c>
      <c r="D1615" s="331">
        <v>84237976068</v>
      </c>
      <c r="E1615" s="331">
        <v>1078679508</v>
      </c>
      <c r="F1615" s="331">
        <v>3719187</v>
      </c>
      <c r="G1615" s="332">
        <f t="shared" si="50"/>
        <v>9.8793554768911817E-6</v>
      </c>
      <c r="H1615" s="331">
        <v>40130</v>
      </c>
      <c r="I1615" s="331">
        <v>1322512</v>
      </c>
      <c r="J1615" s="331">
        <f t="shared" si="51"/>
        <v>-1282382</v>
      </c>
      <c r="K1615" s="199">
        <v>1.3</v>
      </c>
      <c r="L1615" s="199">
        <v>0.85</v>
      </c>
    </row>
    <row r="1616" spans="1:12" ht="15" customHeight="1" x14ac:dyDescent="0.25">
      <c r="A1616" s="49">
        <v>2010</v>
      </c>
      <c r="B1616" s="330" t="s">
        <v>46</v>
      </c>
      <c r="C1616" s="331">
        <v>387417129528</v>
      </c>
      <c r="D1616" s="331">
        <v>85197912170</v>
      </c>
      <c r="E1616" s="331">
        <v>2371767390</v>
      </c>
      <c r="F1616" s="331">
        <v>2770197</v>
      </c>
      <c r="G1616" s="332">
        <f t="shared" si="50"/>
        <v>7.1504246685607327E-6</v>
      </c>
      <c r="H1616" s="331">
        <v>292901</v>
      </c>
      <c r="I1616" s="331">
        <v>0</v>
      </c>
      <c r="J1616" s="331">
        <f t="shared" si="51"/>
        <v>292901</v>
      </c>
      <c r="K1616" s="199">
        <v>2.8</v>
      </c>
      <c r="L1616" s="199">
        <v>0.85</v>
      </c>
    </row>
    <row r="1617" spans="1:12" ht="15" customHeight="1" x14ac:dyDescent="0.25">
      <c r="A1617" s="49">
        <v>2011</v>
      </c>
      <c r="B1617" s="330" t="s">
        <v>46</v>
      </c>
      <c r="C1617" s="331">
        <v>416190863002</v>
      </c>
      <c r="D1617" s="331">
        <v>89118323105</v>
      </c>
      <c r="E1617" s="331">
        <v>2798462716</v>
      </c>
      <c r="F1617" s="331">
        <v>2219729</v>
      </c>
      <c r="G1617" s="332">
        <f t="shared" si="50"/>
        <v>5.333440008723433E-6</v>
      </c>
      <c r="H1617" s="331">
        <v>475639</v>
      </c>
      <c r="I1617" s="331">
        <v>0</v>
      </c>
      <c r="J1617" s="331">
        <f t="shared" si="51"/>
        <v>475639</v>
      </c>
      <c r="K1617" s="199">
        <v>3.1</v>
      </c>
      <c r="L1617" s="199">
        <v>0.85</v>
      </c>
    </row>
    <row r="1618" spans="1:12" ht="15" customHeight="1" x14ac:dyDescent="0.25">
      <c r="A1618" s="49">
        <v>2012</v>
      </c>
      <c r="B1618" s="330" t="s">
        <v>46</v>
      </c>
      <c r="C1618" s="331">
        <v>449518142638</v>
      </c>
      <c r="D1618" s="331">
        <v>93450246398</v>
      </c>
      <c r="E1618" s="331">
        <v>2966381189</v>
      </c>
      <c r="F1618" s="331">
        <v>2093233</v>
      </c>
      <c r="G1618" s="332">
        <f t="shared" si="50"/>
        <v>4.656615165109575E-6</v>
      </c>
      <c r="H1618" s="331">
        <v>1026547</v>
      </c>
      <c r="I1618" s="331">
        <v>0</v>
      </c>
      <c r="J1618" s="331">
        <f t="shared" si="51"/>
        <v>1026547</v>
      </c>
      <c r="K1618" s="199">
        <v>3.17</v>
      </c>
      <c r="L1618" s="199">
        <v>0.85</v>
      </c>
    </row>
    <row r="1619" spans="1:12" ht="15" customHeight="1" x14ac:dyDescent="0.25">
      <c r="A1619" s="49">
        <v>2013</v>
      </c>
      <c r="B1619" s="330" t="s">
        <v>46</v>
      </c>
      <c r="C1619" s="331">
        <v>469302706780</v>
      </c>
      <c r="D1619" s="331">
        <v>97099803334</v>
      </c>
      <c r="E1619" s="331">
        <v>2775853400</v>
      </c>
      <c r="F1619" s="331">
        <v>2166290</v>
      </c>
      <c r="G1619" s="332">
        <f t="shared" si="50"/>
        <v>4.6159759334512316E-6</v>
      </c>
      <c r="H1619" s="331">
        <v>1395933</v>
      </c>
      <c r="I1619" s="331">
        <v>0</v>
      </c>
      <c r="J1619" s="331">
        <f t="shared" si="51"/>
        <v>1395933</v>
      </c>
      <c r="K1619" s="199">
        <v>2.86</v>
      </c>
      <c r="L1619" s="199">
        <v>0.85</v>
      </c>
    </row>
    <row r="1620" spans="1:12" ht="15" customHeight="1" x14ac:dyDescent="0.25">
      <c r="A1620" s="49">
        <v>2014</v>
      </c>
      <c r="B1620" s="330" t="s">
        <v>46</v>
      </c>
      <c r="C1620" s="331">
        <v>505795379778</v>
      </c>
      <c r="D1620" s="331">
        <v>102390039388</v>
      </c>
      <c r="E1620" s="331">
        <v>2645907246</v>
      </c>
      <c r="F1620" s="331">
        <v>2025006</v>
      </c>
      <c r="G1620" s="332">
        <f t="shared" si="50"/>
        <v>4.0036071521428307E-6</v>
      </c>
      <c r="H1620" s="331">
        <v>1687398</v>
      </c>
      <c r="I1620" s="331">
        <v>0</v>
      </c>
      <c r="J1620" s="331">
        <f t="shared" si="51"/>
        <v>1687398</v>
      </c>
      <c r="K1620" s="333">
        <v>2.5841451588601476</v>
      </c>
      <c r="L1620" s="199">
        <v>0.85</v>
      </c>
    </row>
    <row r="1621" spans="1:12" ht="15" customHeight="1" x14ac:dyDescent="0.25">
      <c r="A1621" s="49">
        <v>2015</v>
      </c>
      <c r="B1621" s="330" t="s">
        <v>46</v>
      </c>
      <c r="C1621" s="334">
        <v>527951799000</v>
      </c>
      <c r="D1621" s="334">
        <v>105527620000</v>
      </c>
      <c r="E1621" s="334">
        <v>2145753000</v>
      </c>
      <c r="F1621" s="331">
        <v>2565168</v>
      </c>
      <c r="G1621" s="332">
        <f t="shared" si="50"/>
        <v>4.8587162783775265E-6</v>
      </c>
      <c r="H1621" s="331">
        <v>1304925</v>
      </c>
      <c r="I1621" s="199">
        <v>0</v>
      </c>
      <c r="J1621" s="331">
        <f t="shared" si="51"/>
        <v>1304925</v>
      </c>
      <c r="K1621" s="199">
        <v>2.4</v>
      </c>
      <c r="L1621" s="199">
        <v>0.85</v>
      </c>
    </row>
    <row r="1622" spans="1:12" ht="15" customHeight="1" x14ac:dyDescent="0.25">
      <c r="A1622" s="49">
        <v>1980</v>
      </c>
      <c r="B1622" s="330" t="s">
        <v>47</v>
      </c>
      <c r="C1622" s="331">
        <v>5246205346</v>
      </c>
      <c r="D1622" s="331">
        <v>3423511646</v>
      </c>
      <c r="E1622" s="331">
        <v>53536659</v>
      </c>
      <c r="F1622" s="331">
        <v>61728</v>
      </c>
      <c r="G1622" s="332">
        <f t="shared" si="50"/>
        <v>1.1766218805572465E-5</v>
      </c>
      <c r="H1622" s="331">
        <v>63727</v>
      </c>
      <c r="I1622" s="331">
        <v>0</v>
      </c>
      <c r="J1622" s="331">
        <f t="shared" si="51"/>
        <v>63727</v>
      </c>
      <c r="K1622" s="199">
        <v>1.56</v>
      </c>
      <c r="L1622" s="199">
        <v>1.38</v>
      </c>
    </row>
    <row r="1623" spans="1:12" ht="15" customHeight="1" x14ac:dyDescent="0.25">
      <c r="A1623" s="49">
        <v>1981</v>
      </c>
      <c r="B1623" s="330" t="s">
        <v>47</v>
      </c>
      <c r="C1623" s="331">
        <v>5921068961</v>
      </c>
      <c r="D1623" s="331">
        <v>3793723122</v>
      </c>
      <c r="E1623" s="331">
        <v>67522802</v>
      </c>
      <c r="F1623" s="331">
        <v>70639</v>
      </c>
      <c r="G1623" s="332">
        <f t="shared" si="50"/>
        <v>1.1930109320677442E-5</v>
      </c>
      <c r="H1623" s="331">
        <v>63093</v>
      </c>
      <c r="I1623" s="331">
        <v>0</v>
      </c>
      <c r="J1623" s="331">
        <f t="shared" si="51"/>
        <v>63093</v>
      </c>
      <c r="K1623" s="199">
        <v>1.78</v>
      </c>
      <c r="L1623" s="199">
        <v>1.38</v>
      </c>
    </row>
    <row r="1624" spans="1:12" ht="15" customHeight="1" x14ac:dyDescent="0.25">
      <c r="A1624" s="49">
        <v>1982</v>
      </c>
      <c r="B1624" s="330" t="s">
        <v>47</v>
      </c>
      <c r="C1624" s="331">
        <v>6236320584</v>
      </c>
      <c r="D1624" s="331">
        <v>3874959677</v>
      </c>
      <c r="E1624" s="331">
        <v>68391757</v>
      </c>
      <c r="F1624" s="331">
        <v>121853</v>
      </c>
      <c r="G1624" s="332">
        <f t="shared" si="50"/>
        <v>1.9539245675186734E-5</v>
      </c>
      <c r="H1624" s="331">
        <v>10108</v>
      </c>
      <c r="I1624" s="331">
        <v>0</v>
      </c>
      <c r="J1624" s="331">
        <f t="shared" si="51"/>
        <v>10108</v>
      </c>
      <c r="K1624" s="199">
        <v>1.76</v>
      </c>
      <c r="L1624" s="199">
        <v>1.65</v>
      </c>
    </row>
    <row r="1625" spans="1:12" ht="15" customHeight="1" x14ac:dyDescent="0.25">
      <c r="A1625" s="49">
        <v>1983</v>
      </c>
      <c r="B1625" s="330" t="s">
        <v>47</v>
      </c>
      <c r="C1625" s="331">
        <v>6506091500</v>
      </c>
      <c r="D1625" s="331">
        <v>3951929729</v>
      </c>
      <c r="E1625" s="331">
        <v>122511733</v>
      </c>
      <c r="F1625" s="331">
        <v>94577</v>
      </c>
      <c r="G1625" s="332">
        <f t="shared" si="50"/>
        <v>1.4536684582440933E-5</v>
      </c>
      <c r="H1625" s="331">
        <v>18461</v>
      </c>
      <c r="I1625" s="331">
        <v>0</v>
      </c>
      <c r="J1625" s="331">
        <f t="shared" si="51"/>
        <v>18461</v>
      </c>
      <c r="K1625" s="199">
        <v>3.1</v>
      </c>
      <c r="L1625" s="199">
        <v>1.75</v>
      </c>
    </row>
    <row r="1626" spans="1:12" ht="15" customHeight="1" x14ac:dyDescent="0.25">
      <c r="A1626" s="49">
        <v>1984</v>
      </c>
      <c r="B1626" s="330" t="s">
        <v>47</v>
      </c>
      <c r="C1626" s="331">
        <v>7269020731</v>
      </c>
      <c r="D1626" s="331">
        <v>4554701809</v>
      </c>
      <c r="E1626" s="331">
        <v>143514680</v>
      </c>
      <c r="F1626" s="331">
        <v>61854</v>
      </c>
      <c r="G1626" s="332">
        <f t="shared" si="50"/>
        <v>8.5092617408852448E-6</v>
      </c>
      <c r="H1626" s="331">
        <v>102186</v>
      </c>
      <c r="I1626" s="331">
        <v>0</v>
      </c>
      <c r="J1626" s="331">
        <f t="shared" si="51"/>
        <v>102186</v>
      </c>
      <c r="K1626" s="199">
        <v>3.15</v>
      </c>
      <c r="L1626" s="199">
        <v>1.75</v>
      </c>
    </row>
    <row r="1627" spans="1:12" ht="15" customHeight="1" x14ac:dyDescent="0.25">
      <c r="A1627" s="49">
        <v>1985</v>
      </c>
      <c r="B1627" s="330" t="s">
        <v>47</v>
      </c>
      <c r="C1627" s="331">
        <v>7658048474</v>
      </c>
      <c r="D1627" s="331">
        <v>4442776114</v>
      </c>
      <c r="E1627" s="331">
        <v>111911510</v>
      </c>
      <c r="F1627" s="331">
        <v>79621</v>
      </c>
      <c r="G1627" s="332">
        <f t="shared" si="50"/>
        <v>1.0397035259090212E-5</v>
      </c>
      <c r="H1627" s="331">
        <v>151685</v>
      </c>
      <c r="I1627" s="331">
        <v>0</v>
      </c>
      <c r="J1627" s="331">
        <f t="shared" si="51"/>
        <v>151685</v>
      </c>
      <c r="K1627" s="199">
        <v>2.52</v>
      </c>
      <c r="L1627" s="199">
        <v>1.75</v>
      </c>
    </row>
    <row r="1628" spans="1:12" ht="15" customHeight="1" x14ac:dyDescent="0.25">
      <c r="A1628" s="49">
        <v>1986</v>
      </c>
      <c r="B1628" s="330" t="s">
        <v>47</v>
      </c>
      <c r="C1628" s="331">
        <v>7823719283</v>
      </c>
      <c r="D1628" s="331">
        <v>4507061564</v>
      </c>
      <c r="E1628" s="331">
        <v>81343573</v>
      </c>
      <c r="F1628" s="331">
        <v>95142</v>
      </c>
      <c r="G1628" s="332">
        <f t="shared" si="50"/>
        <v>1.216071238735931E-5</v>
      </c>
      <c r="H1628" s="331">
        <v>157224</v>
      </c>
      <c r="I1628" s="331">
        <v>0</v>
      </c>
      <c r="J1628" s="331">
        <f t="shared" si="51"/>
        <v>157224</v>
      </c>
      <c r="K1628" s="199">
        <v>1.8</v>
      </c>
      <c r="L1628" s="199">
        <v>1.75</v>
      </c>
    </row>
    <row r="1629" spans="1:12" ht="15" customHeight="1" x14ac:dyDescent="0.25">
      <c r="A1629" s="49">
        <v>1987</v>
      </c>
      <c r="B1629" s="330" t="s">
        <v>47</v>
      </c>
      <c r="C1629" s="331">
        <v>8113110306</v>
      </c>
      <c r="D1629" s="331">
        <v>4682240538</v>
      </c>
      <c r="E1629" s="331">
        <v>77534014</v>
      </c>
      <c r="F1629" s="331">
        <v>86607</v>
      </c>
      <c r="G1629" s="332">
        <f t="shared" si="50"/>
        <v>1.0674944224035797E-5</v>
      </c>
      <c r="H1629" s="331">
        <v>161252</v>
      </c>
      <c r="I1629" s="331">
        <v>0</v>
      </c>
      <c r="J1629" s="331">
        <f t="shared" si="51"/>
        <v>161252</v>
      </c>
      <c r="K1629" s="199">
        <v>1.66</v>
      </c>
      <c r="L1629" s="199">
        <v>1.75</v>
      </c>
    </row>
    <row r="1630" spans="1:12" ht="15" customHeight="1" x14ac:dyDescent="0.25">
      <c r="A1630" s="49">
        <v>1988</v>
      </c>
      <c r="B1630" s="330" t="s">
        <v>47</v>
      </c>
      <c r="C1630" s="331">
        <v>8759395721</v>
      </c>
      <c r="D1630" s="331">
        <v>4953465949</v>
      </c>
      <c r="E1630" s="331">
        <v>76337499</v>
      </c>
      <c r="F1630" s="331">
        <v>62909</v>
      </c>
      <c r="G1630" s="332">
        <f t="shared" si="50"/>
        <v>7.1818881123477899E-6</v>
      </c>
      <c r="H1630" s="331">
        <v>189966</v>
      </c>
      <c r="I1630" s="331">
        <v>0</v>
      </c>
      <c r="J1630" s="331">
        <f t="shared" si="51"/>
        <v>189966</v>
      </c>
      <c r="K1630" s="199">
        <v>1.54</v>
      </c>
      <c r="L1630" s="199">
        <v>1.75</v>
      </c>
    </row>
    <row r="1631" spans="1:12" ht="15" customHeight="1" x14ac:dyDescent="0.25">
      <c r="A1631" s="49">
        <v>1989</v>
      </c>
      <c r="B1631" s="330" t="s">
        <v>47</v>
      </c>
      <c r="C1631" s="331">
        <v>9457237361</v>
      </c>
      <c r="D1631" s="331">
        <v>5327315169</v>
      </c>
      <c r="E1631" s="331">
        <v>85316883</v>
      </c>
      <c r="F1631" s="331">
        <v>53663</v>
      </c>
      <c r="G1631" s="332">
        <f t="shared" si="50"/>
        <v>5.6742786451883788E-6</v>
      </c>
      <c r="H1631" s="331">
        <v>238503</v>
      </c>
      <c r="I1631" s="331">
        <v>0</v>
      </c>
      <c r="J1631" s="331">
        <f t="shared" si="51"/>
        <v>238503</v>
      </c>
      <c r="K1631" s="199">
        <v>1.6</v>
      </c>
      <c r="L1631" s="199">
        <v>1.75</v>
      </c>
    </row>
    <row r="1632" spans="1:12" ht="15" customHeight="1" x14ac:dyDescent="0.25">
      <c r="A1632" s="49">
        <v>1990</v>
      </c>
      <c r="B1632" s="330" t="s">
        <v>47</v>
      </c>
      <c r="C1632" s="331">
        <v>10316446639</v>
      </c>
      <c r="D1632" s="331">
        <v>5746639721</v>
      </c>
      <c r="E1632" s="331">
        <v>85852699</v>
      </c>
      <c r="F1632" s="331">
        <v>54114</v>
      </c>
      <c r="G1632" s="332">
        <f t="shared" si="50"/>
        <v>5.2454107401117145E-6</v>
      </c>
      <c r="H1632" s="331">
        <v>292408</v>
      </c>
      <c r="I1632" s="331">
        <v>0</v>
      </c>
      <c r="J1632" s="331">
        <f t="shared" si="51"/>
        <v>292408</v>
      </c>
      <c r="K1632" s="199">
        <v>1.49</v>
      </c>
      <c r="L1632" s="199">
        <v>1.75</v>
      </c>
    </row>
    <row r="1633" spans="1:12" ht="15" customHeight="1" x14ac:dyDescent="0.25">
      <c r="A1633" s="49">
        <v>1991</v>
      </c>
      <c r="B1633" s="330" t="s">
        <v>47</v>
      </c>
      <c r="C1633" s="331">
        <v>11064529484</v>
      </c>
      <c r="D1633" s="331">
        <v>6183690966</v>
      </c>
      <c r="E1633" s="331">
        <v>76863871</v>
      </c>
      <c r="F1633" s="331">
        <v>69326</v>
      </c>
      <c r="G1633" s="332">
        <f t="shared" si="50"/>
        <v>6.2656075977066823E-6</v>
      </c>
      <c r="H1633" s="331">
        <v>327893</v>
      </c>
      <c r="I1633" s="331">
        <v>0</v>
      </c>
      <c r="J1633" s="331">
        <f t="shared" si="51"/>
        <v>327893</v>
      </c>
      <c r="K1633" s="199">
        <v>1.24</v>
      </c>
      <c r="L1633" s="199">
        <v>1.75</v>
      </c>
    </row>
    <row r="1634" spans="1:12" ht="15" customHeight="1" x14ac:dyDescent="0.25">
      <c r="A1634" s="49">
        <v>1992</v>
      </c>
      <c r="B1634" s="330" t="s">
        <v>47</v>
      </c>
      <c r="C1634" s="331">
        <v>12081453812</v>
      </c>
      <c r="D1634" s="331">
        <v>6668503499</v>
      </c>
      <c r="E1634" s="331">
        <v>67398754</v>
      </c>
      <c r="F1634" s="331">
        <v>78236</v>
      </c>
      <c r="G1634" s="332">
        <f t="shared" si="50"/>
        <v>6.4757107230167506E-6</v>
      </c>
      <c r="H1634" s="331">
        <v>342146</v>
      </c>
      <c r="I1634" s="331">
        <v>0</v>
      </c>
      <c r="J1634" s="331">
        <f t="shared" si="51"/>
        <v>342146</v>
      </c>
      <c r="K1634" s="199">
        <v>1.01</v>
      </c>
      <c r="L1634" s="199">
        <v>1.75</v>
      </c>
    </row>
    <row r="1635" spans="1:12" ht="15" customHeight="1" x14ac:dyDescent="0.25">
      <c r="A1635" s="49">
        <v>1993</v>
      </c>
      <c r="B1635" s="330" t="s">
        <v>47</v>
      </c>
      <c r="C1635" s="331">
        <v>13007967032</v>
      </c>
      <c r="D1635" s="331">
        <v>7348771230</v>
      </c>
      <c r="E1635" s="331">
        <v>71162344</v>
      </c>
      <c r="F1635" s="331">
        <v>69970</v>
      </c>
      <c r="G1635" s="332">
        <f t="shared" si="50"/>
        <v>5.3790111727583291E-6</v>
      </c>
      <c r="H1635" s="331">
        <v>366524</v>
      </c>
      <c r="I1635" s="331">
        <v>0</v>
      </c>
      <c r="J1635" s="331">
        <f t="shared" si="51"/>
        <v>366524</v>
      </c>
      <c r="K1635" s="199">
        <v>0.97</v>
      </c>
      <c r="L1635" s="199">
        <v>1.75</v>
      </c>
    </row>
    <row r="1636" spans="1:12" ht="15" customHeight="1" x14ac:dyDescent="0.25">
      <c r="A1636" s="49">
        <v>1994</v>
      </c>
      <c r="B1636" s="330" t="s">
        <v>47</v>
      </c>
      <c r="C1636" s="331">
        <v>14372538152</v>
      </c>
      <c r="D1636" s="331">
        <v>8222737736</v>
      </c>
      <c r="E1636" s="331">
        <v>84246956</v>
      </c>
      <c r="F1636" s="331">
        <v>61871</v>
      </c>
      <c r="G1636" s="332">
        <f t="shared" si="50"/>
        <v>4.3048068020880768E-6</v>
      </c>
      <c r="H1636" s="331">
        <v>411411</v>
      </c>
      <c r="I1636" s="331">
        <v>0</v>
      </c>
      <c r="J1636" s="331">
        <f t="shared" si="51"/>
        <v>411411</v>
      </c>
      <c r="K1636" s="199">
        <v>1.02</v>
      </c>
      <c r="L1636" s="199">
        <v>1.75</v>
      </c>
    </row>
    <row r="1637" spans="1:12" ht="15" customHeight="1" x14ac:dyDescent="0.25">
      <c r="A1637" s="49">
        <v>1995</v>
      </c>
      <c r="B1637" s="330" t="s">
        <v>47</v>
      </c>
      <c r="C1637" s="331">
        <v>15979274149</v>
      </c>
      <c r="D1637" s="331">
        <v>9103964652</v>
      </c>
      <c r="E1637" s="331">
        <v>87180594</v>
      </c>
      <c r="F1637" s="331">
        <v>58684</v>
      </c>
      <c r="G1637" s="332">
        <f t="shared" si="50"/>
        <v>3.6725072398656174E-6</v>
      </c>
      <c r="H1637" s="331">
        <v>468030</v>
      </c>
      <c r="I1637" s="331">
        <v>0</v>
      </c>
      <c r="J1637" s="331">
        <f t="shared" si="51"/>
        <v>468030</v>
      </c>
      <c r="K1637" s="199">
        <v>0.96</v>
      </c>
      <c r="L1637" s="199">
        <v>1.61</v>
      </c>
    </row>
    <row r="1638" spans="1:12" ht="15" customHeight="1" x14ac:dyDescent="0.25">
      <c r="A1638" s="49">
        <v>1996</v>
      </c>
      <c r="B1638" s="330" t="s">
        <v>47</v>
      </c>
      <c r="C1638" s="331">
        <v>17634986090</v>
      </c>
      <c r="D1638" s="331">
        <v>10153386293</v>
      </c>
      <c r="E1638" s="331">
        <v>88257652</v>
      </c>
      <c r="F1638" s="331">
        <v>67734</v>
      </c>
      <c r="G1638" s="332">
        <f t="shared" si="50"/>
        <v>3.8408876340656075E-6</v>
      </c>
      <c r="H1638" s="331">
        <v>523880</v>
      </c>
      <c r="I1638" s="331">
        <v>0</v>
      </c>
      <c r="J1638" s="331">
        <f t="shared" si="51"/>
        <v>523880</v>
      </c>
      <c r="K1638" s="199">
        <v>0.87</v>
      </c>
      <c r="L1638" s="199">
        <v>1.61</v>
      </c>
    </row>
    <row r="1639" spans="1:12" ht="15" customHeight="1" x14ac:dyDescent="0.25">
      <c r="A1639" s="49">
        <v>1997</v>
      </c>
      <c r="B1639" s="330" t="s">
        <v>47</v>
      </c>
      <c r="C1639" s="331">
        <v>19342352300</v>
      </c>
      <c r="D1639" s="331">
        <v>11066596657</v>
      </c>
      <c r="E1639" s="331">
        <v>82176403</v>
      </c>
      <c r="F1639" s="331">
        <v>71766</v>
      </c>
      <c r="G1639" s="332">
        <f t="shared" si="50"/>
        <v>3.7103036325111297E-6</v>
      </c>
      <c r="H1639" s="331">
        <v>572849</v>
      </c>
      <c r="I1639" s="331">
        <v>0</v>
      </c>
      <c r="J1639" s="331">
        <f t="shared" si="51"/>
        <v>572849</v>
      </c>
      <c r="K1639" s="199">
        <v>0.74</v>
      </c>
      <c r="L1639" s="199">
        <v>1.61</v>
      </c>
    </row>
    <row r="1640" spans="1:12" ht="15" customHeight="1" x14ac:dyDescent="0.25">
      <c r="A1640" s="49">
        <v>1998</v>
      </c>
      <c r="B1640" s="330" t="s">
        <v>47</v>
      </c>
      <c r="C1640" s="331">
        <v>20899981446</v>
      </c>
      <c r="D1640" s="331">
        <v>11996488335</v>
      </c>
      <c r="E1640" s="331">
        <v>76094269</v>
      </c>
      <c r="F1640" s="331">
        <v>81063</v>
      </c>
      <c r="G1640" s="332">
        <f t="shared" si="50"/>
        <v>3.8786158834372779E-6</v>
      </c>
      <c r="H1640" s="331">
        <v>605350</v>
      </c>
      <c r="I1640" s="331">
        <v>0</v>
      </c>
      <c r="J1640" s="331">
        <f t="shared" si="51"/>
        <v>605350</v>
      </c>
      <c r="K1640" s="199">
        <v>0.63</v>
      </c>
      <c r="L1640" s="199">
        <v>1.61</v>
      </c>
    </row>
    <row r="1641" spans="1:12" ht="15" customHeight="1" x14ac:dyDescent="0.25">
      <c r="A1641" s="49">
        <v>1999</v>
      </c>
      <c r="B1641" s="330" t="s">
        <v>47</v>
      </c>
      <c r="C1641" s="331">
        <v>22369348334</v>
      </c>
      <c r="D1641" s="331">
        <v>12866159676</v>
      </c>
      <c r="E1641" s="331">
        <v>76593589</v>
      </c>
      <c r="F1641" s="331">
        <v>93539</v>
      </c>
      <c r="G1641" s="332">
        <f t="shared" si="50"/>
        <v>4.1815701827051714E-6</v>
      </c>
      <c r="H1641" s="331">
        <v>625732</v>
      </c>
      <c r="I1641" s="331">
        <v>0</v>
      </c>
      <c r="J1641" s="331">
        <f t="shared" si="51"/>
        <v>625732</v>
      </c>
      <c r="K1641" s="199">
        <v>0.6</v>
      </c>
      <c r="L1641" s="199">
        <v>1.61</v>
      </c>
    </row>
    <row r="1642" spans="1:12" ht="15" customHeight="1" x14ac:dyDescent="0.25">
      <c r="A1642" s="49">
        <v>2000</v>
      </c>
      <c r="B1642" s="330" t="s">
        <v>47</v>
      </c>
      <c r="C1642" s="331">
        <v>24040697610</v>
      </c>
      <c r="D1642" s="331">
        <v>13829748907</v>
      </c>
      <c r="E1642" s="331">
        <v>58010504</v>
      </c>
      <c r="F1642" s="331">
        <v>90868</v>
      </c>
      <c r="G1642" s="332">
        <f t="shared" si="50"/>
        <v>3.7797572048076688E-6</v>
      </c>
      <c r="H1642" s="331">
        <v>625569</v>
      </c>
      <c r="I1642" s="331">
        <v>0</v>
      </c>
      <c r="J1642" s="331">
        <f t="shared" si="51"/>
        <v>625569</v>
      </c>
      <c r="K1642" s="199">
        <v>0.42</v>
      </c>
      <c r="L1642" s="199">
        <v>1.61</v>
      </c>
    </row>
    <row r="1643" spans="1:12" ht="15" customHeight="1" x14ac:dyDescent="0.25">
      <c r="A1643" s="49">
        <v>2001</v>
      </c>
      <c r="B1643" s="330" t="s">
        <v>47</v>
      </c>
      <c r="C1643" s="331">
        <v>24734028110</v>
      </c>
      <c r="D1643" s="331">
        <v>14488340817</v>
      </c>
      <c r="E1643" s="331">
        <v>66713091</v>
      </c>
      <c r="F1643" s="331">
        <v>172702</v>
      </c>
      <c r="G1643" s="332">
        <f t="shared" si="50"/>
        <v>6.9823645073879559E-6</v>
      </c>
      <c r="H1643" s="331">
        <v>564842</v>
      </c>
      <c r="I1643" s="331">
        <v>0</v>
      </c>
      <c r="J1643" s="331">
        <f t="shared" si="51"/>
        <v>564842</v>
      </c>
      <c r="K1643" s="199">
        <v>0.46</v>
      </c>
      <c r="L1643" s="199">
        <v>1.61</v>
      </c>
    </row>
    <row r="1644" spans="1:12" ht="15" customHeight="1" x14ac:dyDescent="0.25">
      <c r="A1644" s="49">
        <v>2002</v>
      </c>
      <c r="B1644" s="330" t="s">
        <v>47</v>
      </c>
      <c r="C1644" s="331">
        <v>24512617130</v>
      </c>
      <c r="D1644" s="331">
        <v>14441741248</v>
      </c>
      <c r="E1644" s="331">
        <v>71413767</v>
      </c>
      <c r="F1644" s="331">
        <v>245346</v>
      </c>
      <c r="G1644" s="332">
        <f t="shared" si="50"/>
        <v>1.0008967981624899E-5</v>
      </c>
      <c r="H1644" s="331">
        <v>482403</v>
      </c>
      <c r="I1644" s="331">
        <v>0</v>
      </c>
      <c r="J1644" s="331">
        <f t="shared" si="51"/>
        <v>482403</v>
      </c>
      <c r="K1644" s="199">
        <v>0.49</v>
      </c>
      <c r="L1644" s="199">
        <v>1.61</v>
      </c>
    </row>
    <row r="1645" spans="1:12" ht="15" customHeight="1" x14ac:dyDescent="0.25">
      <c r="A1645" s="49">
        <v>2003</v>
      </c>
      <c r="B1645" s="330" t="s">
        <v>47</v>
      </c>
      <c r="C1645" s="331">
        <v>24811766232</v>
      </c>
      <c r="D1645" s="331">
        <v>14566068389</v>
      </c>
      <c r="E1645" s="331">
        <v>91525354</v>
      </c>
      <c r="F1645" s="331">
        <v>206657</v>
      </c>
      <c r="G1645" s="332">
        <f t="shared" si="50"/>
        <v>8.3289919011679323E-6</v>
      </c>
      <c r="H1645" s="331">
        <v>368196</v>
      </c>
      <c r="I1645" s="331">
        <v>0</v>
      </c>
      <c r="J1645" s="331">
        <f t="shared" si="51"/>
        <v>368196</v>
      </c>
      <c r="K1645" s="199">
        <v>0.63</v>
      </c>
      <c r="L1645" s="199">
        <v>1.61</v>
      </c>
    </row>
    <row r="1646" spans="1:12" x14ac:dyDescent="0.25">
      <c r="A1646" s="49">
        <v>2004</v>
      </c>
      <c r="B1646" s="330" t="s">
        <v>47</v>
      </c>
      <c r="C1646" s="331">
        <v>26544877504</v>
      </c>
      <c r="D1646" s="331">
        <v>15328054329</v>
      </c>
      <c r="E1646" s="331">
        <v>163048845</v>
      </c>
      <c r="F1646" s="331">
        <v>149198</v>
      </c>
      <c r="G1646" s="332">
        <f t="shared" si="50"/>
        <v>5.620594782459163E-6</v>
      </c>
      <c r="H1646" s="331">
        <v>395342</v>
      </c>
      <c r="I1646" s="331">
        <v>0</v>
      </c>
      <c r="J1646" s="331">
        <f t="shared" si="51"/>
        <v>395342</v>
      </c>
      <c r="K1646" s="199">
        <v>1.06</v>
      </c>
      <c r="L1646" s="199">
        <v>1.61</v>
      </c>
    </row>
    <row r="1647" spans="1:12" ht="15" customHeight="1" x14ac:dyDescent="0.25">
      <c r="A1647" s="49">
        <v>2005</v>
      </c>
      <c r="B1647" s="330" t="s">
        <v>47</v>
      </c>
      <c r="C1647" s="331">
        <v>28885779607</v>
      </c>
      <c r="D1647" s="331">
        <v>16540268123</v>
      </c>
      <c r="E1647" s="331">
        <v>227824974</v>
      </c>
      <c r="F1647" s="331">
        <v>110795</v>
      </c>
      <c r="G1647" s="332">
        <f t="shared" si="50"/>
        <v>3.8356243628318281E-6</v>
      </c>
      <c r="H1647" s="331">
        <v>523971</v>
      </c>
      <c r="I1647" s="331">
        <v>0</v>
      </c>
      <c r="J1647" s="331">
        <f t="shared" si="51"/>
        <v>523971</v>
      </c>
      <c r="K1647" s="199">
        <v>1.38</v>
      </c>
      <c r="L1647" s="199">
        <v>1.61</v>
      </c>
    </row>
    <row r="1648" spans="1:12" ht="15" customHeight="1" x14ac:dyDescent="0.25">
      <c r="A1648" s="49">
        <v>2006</v>
      </c>
      <c r="B1648" s="330" t="s">
        <v>47</v>
      </c>
      <c r="C1648" s="331">
        <v>32327204160</v>
      </c>
      <c r="D1648" s="331">
        <v>18405726697</v>
      </c>
      <c r="E1648" s="331">
        <v>241877576</v>
      </c>
      <c r="F1648" s="331">
        <v>88027</v>
      </c>
      <c r="G1648" s="332">
        <f t="shared" si="50"/>
        <v>2.7230007137122001E-6</v>
      </c>
      <c r="H1648" s="331">
        <v>706140</v>
      </c>
      <c r="I1648" s="331">
        <v>0</v>
      </c>
      <c r="J1648" s="331">
        <f t="shared" si="51"/>
        <v>706140</v>
      </c>
      <c r="K1648" s="199">
        <v>1.31</v>
      </c>
      <c r="L1648" s="199">
        <v>1.61</v>
      </c>
    </row>
    <row r="1649" spans="1:12" ht="15" customHeight="1" x14ac:dyDescent="0.25">
      <c r="A1649" s="49">
        <v>2007</v>
      </c>
      <c r="B1649" s="330" t="s">
        <v>47</v>
      </c>
      <c r="C1649" s="331">
        <v>35754041580</v>
      </c>
      <c r="D1649" s="331">
        <v>20382404914</v>
      </c>
      <c r="E1649" s="331">
        <v>184325901</v>
      </c>
      <c r="F1649" s="331">
        <v>94687</v>
      </c>
      <c r="G1649" s="332">
        <f t="shared" si="50"/>
        <v>2.6482880204783829E-6</v>
      </c>
      <c r="H1649" s="331">
        <v>842680</v>
      </c>
      <c r="I1649" s="331">
        <v>0</v>
      </c>
      <c r="J1649" s="331">
        <f t="shared" si="51"/>
        <v>842680</v>
      </c>
      <c r="K1649" s="199">
        <v>0.9</v>
      </c>
      <c r="L1649" s="199">
        <v>1.61</v>
      </c>
    </row>
    <row r="1650" spans="1:12" ht="15" customHeight="1" x14ac:dyDescent="0.25">
      <c r="A1650" s="49">
        <v>2008</v>
      </c>
      <c r="B1650" s="330" t="s">
        <v>47</v>
      </c>
      <c r="C1650" s="331">
        <v>36366501185</v>
      </c>
      <c r="D1650" s="331">
        <v>21013841622</v>
      </c>
      <c r="E1650" s="331">
        <v>120656941</v>
      </c>
      <c r="F1650" s="331">
        <v>188009</v>
      </c>
      <c r="G1650" s="332">
        <f t="shared" si="50"/>
        <v>5.1698402066115616E-6</v>
      </c>
      <c r="H1650" s="331">
        <v>822707</v>
      </c>
      <c r="I1650" s="331">
        <v>0</v>
      </c>
      <c r="J1650" s="331">
        <f t="shared" si="51"/>
        <v>822707</v>
      </c>
      <c r="K1650" s="199">
        <v>0.6</v>
      </c>
      <c r="L1650" s="199">
        <v>1.61</v>
      </c>
    </row>
    <row r="1651" spans="1:12" ht="15" customHeight="1" x14ac:dyDescent="0.25">
      <c r="A1651" s="49">
        <v>2009</v>
      </c>
      <c r="B1651" s="330" t="s">
        <v>47</v>
      </c>
      <c r="C1651" s="331">
        <v>34211173255</v>
      </c>
      <c r="D1651" s="331">
        <v>19903329943</v>
      </c>
      <c r="E1651" s="331">
        <v>112690336</v>
      </c>
      <c r="F1651" s="331">
        <v>474639</v>
      </c>
      <c r="G1651" s="332">
        <f t="shared" si="50"/>
        <v>1.3873800715987751E-5</v>
      </c>
      <c r="H1651" s="331">
        <v>492923</v>
      </c>
      <c r="I1651" s="331">
        <v>0</v>
      </c>
      <c r="J1651" s="331">
        <f t="shared" si="51"/>
        <v>492923</v>
      </c>
      <c r="K1651" s="199">
        <v>0.6</v>
      </c>
      <c r="L1651" s="199">
        <v>1.07</v>
      </c>
    </row>
    <row r="1652" spans="1:12" ht="15" customHeight="1" x14ac:dyDescent="0.25">
      <c r="A1652" s="49">
        <v>2010</v>
      </c>
      <c r="B1652" s="330" t="s">
        <v>47</v>
      </c>
      <c r="C1652" s="331">
        <v>34737654254</v>
      </c>
      <c r="D1652" s="331">
        <v>20068462482</v>
      </c>
      <c r="E1652" s="331">
        <v>147766292</v>
      </c>
      <c r="F1652" s="331">
        <v>354342</v>
      </c>
      <c r="G1652" s="332">
        <f t="shared" si="50"/>
        <v>1.0200516056987295E-5</v>
      </c>
      <c r="H1652" s="331">
        <v>312720</v>
      </c>
      <c r="I1652" s="331">
        <v>0</v>
      </c>
      <c r="J1652" s="331">
        <f t="shared" si="51"/>
        <v>312720</v>
      </c>
      <c r="K1652" s="199">
        <v>0.7</v>
      </c>
      <c r="L1652" s="199">
        <v>1.1399999999999999</v>
      </c>
    </row>
    <row r="1653" spans="1:12" ht="15" customHeight="1" x14ac:dyDescent="0.25">
      <c r="A1653" s="49">
        <v>2011</v>
      </c>
      <c r="B1653" s="330" t="s">
        <v>47</v>
      </c>
      <c r="C1653" s="331">
        <v>36528689453</v>
      </c>
      <c r="D1653" s="331">
        <v>20875131854</v>
      </c>
      <c r="E1653" s="331">
        <v>321384994</v>
      </c>
      <c r="F1653" s="331">
        <v>257339</v>
      </c>
      <c r="G1653" s="332">
        <f t="shared" si="50"/>
        <v>7.0448462250776273E-6</v>
      </c>
      <c r="H1653" s="331">
        <v>365460</v>
      </c>
      <c r="I1653" s="331">
        <v>0</v>
      </c>
      <c r="J1653" s="331">
        <f t="shared" si="51"/>
        <v>365460</v>
      </c>
      <c r="K1653" s="199">
        <v>1.5</v>
      </c>
      <c r="L1653" s="199">
        <v>1.1399999999999999</v>
      </c>
    </row>
    <row r="1654" spans="1:12" ht="15" customHeight="1" x14ac:dyDescent="0.25">
      <c r="A1654" s="49">
        <v>2012</v>
      </c>
      <c r="B1654" s="330" t="s">
        <v>47</v>
      </c>
      <c r="C1654" s="331">
        <v>39165843307</v>
      </c>
      <c r="D1654" s="331">
        <v>22251396619</v>
      </c>
      <c r="E1654" s="331">
        <v>346307716</v>
      </c>
      <c r="F1654" s="331">
        <v>207499</v>
      </c>
      <c r="G1654" s="332">
        <f t="shared" si="50"/>
        <v>5.2979581819170044E-6</v>
      </c>
      <c r="H1654" s="331">
        <v>503035</v>
      </c>
      <c r="I1654" s="331">
        <v>0</v>
      </c>
      <c r="J1654" s="331">
        <f t="shared" si="51"/>
        <v>503035</v>
      </c>
      <c r="K1654" s="199">
        <v>1.56</v>
      </c>
      <c r="L1654" s="199">
        <v>1.1399999999999999</v>
      </c>
    </row>
    <row r="1655" spans="1:12" ht="15" customHeight="1" x14ac:dyDescent="0.25">
      <c r="A1655" s="49">
        <v>2013</v>
      </c>
      <c r="B1655" s="330" t="s">
        <v>47</v>
      </c>
      <c r="C1655" s="331">
        <v>41074034534</v>
      </c>
      <c r="D1655" s="331">
        <v>23641336323</v>
      </c>
      <c r="E1655" s="331">
        <v>357230430</v>
      </c>
      <c r="F1655" s="331">
        <v>196153</v>
      </c>
      <c r="G1655" s="332">
        <f t="shared" si="50"/>
        <v>4.7755961211365716E-6</v>
      </c>
      <c r="H1655" s="331">
        <v>659509</v>
      </c>
      <c r="I1655" s="331">
        <v>0</v>
      </c>
      <c r="J1655" s="331">
        <f t="shared" si="51"/>
        <v>659509</v>
      </c>
      <c r="K1655" s="199">
        <v>1.51</v>
      </c>
      <c r="L1655" s="199">
        <v>1.1399999999999999</v>
      </c>
    </row>
    <row r="1656" spans="1:12" ht="15" customHeight="1" x14ac:dyDescent="0.25">
      <c r="A1656" s="49">
        <v>2014</v>
      </c>
      <c r="B1656" s="330" t="s">
        <v>47</v>
      </c>
      <c r="C1656" s="331">
        <v>43720337673</v>
      </c>
      <c r="D1656" s="331">
        <v>25044650671</v>
      </c>
      <c r="E1656" s="331">
        <v>313489964</v>
      </c>
      <c r="F1656" s="331">
        <v>166022</v>
      </c>
      <c r="G1656" s="332">
        <f t="shared" si="50"/>
        <v>3.7973631686410511E-6</v>
      </c>
      <c r="H1656" s="331">
        <v>820601</v>
      </c>
      <c r="I1656" s="331">
        <v>0</v>
      </c>
      <c r="J1656" s="331">
        <f t="shared" si="51"/>
        <v>820601</v>
      </c>
      <c r="K1656" s="333">
        <v>1.2517242429058915</v>
      </c>
      <c r="L1656" s="199">
        <v>1.1399999999999999</v>
      </c>
    </row>
    <row r="1657" spans="1:12" ht="15" customHeight="1" x14ac:dyDescent="0.25">
      <c r="A1657" s="49">
        <v>2015</v>
      </c>
      <c r="B1657" s="330" t="s">
        <v>47</v>
      </c>
      <c r="C1657" s="334">
        <v>47118572000</v>
      </c>
      <c r="D1657" s="334">
        <v>26787371000</v>
      </c>
      <c r="E1657" s="334">
        <v>259530000</v>
      </c>
      <c r="F1657" s="331">
        <v>152608</v>
      </c>
      <c r="G1657" s="332">
        <f t="shared" si="50"/>
        <v>3.2388078314427695E-6</v>
      </c>
      <c r="H1657" s="331">
        <v>946273</v>
      </c>
      <c r="I1657" s="199">
        <v>0</v>
      </c>
      <c r="J1657" s="331">
        <f t="shared" si="51"/>
        <v>946273</v>
      </c>
      <c r="K1657" s="199">
        <v>0.9</v>
      </c>
      <c r="L1657" s="199">
        <v>1.1399999999999999</v>
      </c>
    </row>
    <row r="1658" spans="1:12" ht="15" customHeight="1" x14ac:dyDescent="0.25">
      <c r="A1658" s="49">
        <v>1980</v>
      </c>
      <c r="B1658" s="330" t="s">
        <v>48</v>
      </c>
      <c r="C1658" s="331">
        <v>20470715687</v>
      </c>
      <c r="D1658" s="331">
        <v>9835564978</v>
      </c>
      <c r="E1658" s="331">
        <v>124133738</v>
      </c>
      <c r="F1658" s="331">
        <v>154236</v>
      </c>
      <c r="G1658" s="332">
        <f t="shared" si="50"/>
        <v>7.534470331095855E-6</v>
      </c>
      <c r="H1658" s="331">
        <v>69611</v>
      </c>
      <c r="I1658" s="331">
        <v>0</v>
      </c>
      <c r="J1658" s="331">
        <f t="shared" si="51"/>
        <v>69611</v>
      </c>
      <c r="K1658" s="199">
        <v>1.26</v>
      </c>
      <c r="L1658" s="199">
        <v>0.95</v>
      </c>
    </row>
    <row r="1659" spans="1:12" ht="15" customHeight="1" x14ac:dyDescent="0.25">
      <c r="A1659" s="49">
        <v>1981</v>
      </c>
      <c r="B1659" s="330" t="s">
        <v>48</v>
      </c>
      <c r="C1659" s="331">
        <v>22469672270</v>
      </c>
      <c r="D1659" s="331">
        <v>9838357713</v>
      </c>
      <c r="E1659" s="331">
        <v>167785209</v>
      </c>
      <c r="F1659" s="331">
        <v>162643</v>
      </c>
      <c r="G1659" s="332">
        <f t="shared" si="50"/>
        <v>7.2383343221765644E-6</v>
      </c>
      <c r="H1659" s="331">
        <v>74533</v>
      </c>
      <c r="I1659" s="331">
        <v>0</v>
      </c>
      <c r="J1659" s="331">
        <f t="shared" si="51"/>
        <v>74533</v>
      </c>
      <c r="K1659" s="199">
        <v>1.71</v>
      </c>
      <c r="L1659" s="199">
        <v>0.95</v>
      </c>
    </row>
    <row r="1660" spans="1:12" ht="15" customHeight="1" x14ac:dyDescent="0.25">
      <c r="A1660" s="49">
        <v>1982</v>
      </c>
      <c r="B1660" s="330" t="s">
        <v>48</v>
      </c>
      <c r="C1660" s="331">
        <v>23814831255</v>
      </c>
      <c r="D1660" s="331">
        <v>9783110206</v>
      </c>
      <c r="E1660" s="331">
        <v>177934257</v>
      </c>
      <c r="F1660" s="331">
        <v>239521</v>
      </c>
      <c r="G1660" s="332">
        <f t="shared" si="50"/>
        <v>1.0057640024206001E-5</v>
      </c>
      <c r="H1660" s="331">
        <v>13585</v>
      </c>
      <c r="I1660" s="331">
        <v>0</v>
      </c>
      <c r="J1660" s="331">
        <f t="shared" si="51"/>
        <v>13585</v>
      </c>
      <c r="K1660" s="199">
        <v>1.82</v>
      </c>
      <c r="L1660" s="199">
        <v>1.03</v>
      </c>
    </row>
    <row r="1661" spans="1:12" ht="15" customHeight="1" x14ac:dyDescent="0.25">
      <c r="A1661" s="49">
        <v>1983</v>
      </c>
      <c r="B1661" s="330" t="s">
        <v>48</v>
      </c>
      <c r="C1661" s="331">
        <v>26060636083</v>
      </c>
      <c r="D1661" s="331">
        <v>11379020153</v>
      </c>
      <c r="E1661" s="331">
        <v>244103108</v>
      </c>
      <c r="F1661" s="331">
        <v>171354</v>
      </c>
      <c r="G1661" s="332">
        <f t="shared" si="50"/>
        <v>6.5752040531266411E-6</v>
      </c>
      <c r="H1661" s="331">
        <v>78385</v>
      </c>
      <c r="I1661" s="331">
        <v>0</v>
      </c>
      <c r="J1661" s="331">
        <f t="shared" si="51"/>
        <v>78385</v>
      </c>
      <c r="K1661" s="199">
        <v>2.15</v>
      </c>
      <c r="L1661" s="199">
        <v>1.03</v>
      </c>
    </row>
    <row r="1662" spans="1:12" ht="15" customHeight="1" x14ac:dyDescent="0.25">
      <c r="A1662" s="49">
        <v>1984</v>
      </c>
      <c r="B1662" s="330" t="s">
        <v>48</v>
      </c>
      <c r="C1662" s="331">
        <v>29417778906</v>
      </c>
      <c r="D1662" s="331">
        <v>12423863803</v>
      </c>
      <c r="E1662" s="331">
        <v>309665624</v>
      </c>
      <c r="F1662" s="331">
        <v>118424</v>
      </c>
      <c r="G1662" s="332">
        <f t="shared" si="50"/>
        <v>4.0255928354892365E-6</v>
      </c>
      <c r="H1662" s="331">
        <v>286056</v>
      </c>
      <c r="I1662" s="331">
        <v>0</v>
      </c>
      <c r="J1662" s="331">
        <f t="shared" si="51"/>
        <v>286056</v>
      </c>
      <c r="K1662" s="199">
        <v>2.4900000000000002</v>
      </c>
      <c r="L1662" s="199">
        <v>1.03</v>
      </c>
    </row>
    <row r="1663" spans="1:12" ht="15" customHeight="1" x14ac:dyDescent="0.25">
      <c r="A1663" s="49">
        <v>1985</v>
      </c>
      <c r="B1663" s="330" t="s">
        <v>48</v>
      </c>
      <c r="C1663" s="331">
        <v>32605739162</v>
      </c>
      <c r="D1663" s="331">
        <v>13346796828</v>
      </c>
      <c r="E1663" s="331">
        <v>245641034</v>
      </c>
      <c r="F1663" s="331">
        <v>141245</v>
      </c>
      <c r="G1663" s="332">
        <f t="shared" si="50"/>
        <v>4.331906088625417E-6</v>
      </c>
      <c r="H1663" s="331">
        <v>431745</v>
      </c>
      <c r="I1663" s="331">
        <v>0</v>
      </c>
      <c r="J1663" s="331">
        <f t="shared" si="51"/>
        <v>431745</v>
      </c>
      <c r="K1663" s="199">
        <v>1.84</v>
      </c>
      <c r="L1663" s="199">
        <v>1.03</v>
      </c>
    </row>
    <row r="1664" spans="1:12" ht="15" customHeight="1" x14ac:dyDescent="0.25">
      <c r="A1664" s="49">
        <v>1986</v>
      </c>
      <c r="B1664" s="330" t="s">
        <v>48</v>
      </c>
      <c r="C1664" s="331">
        <v>36049920879</v>
      </c>
      <c r="D1664" s="331">
        <v>14145225500</v>
      </c>
      <c r="E1664" s="331">
        <v>183026691</v>
      </c>
      <c r="F1664" s="331">
        <v>138256</v>
      </c>
      <c r="G1664" s="332">
        <f t="shared" si="50"/>
        <v>3.835126308988313E-6</v>
      </c>
      <c r="H1664" s="331">
        <v>531831</v>
      </c>
      <c r="I1664" s="331">
        <v>0</v>
      </c>
      <c r="J1664" s="331">
        <f t="shared" si="51"/>
        <v>531831</v>
      </c>
      <c r="K1664" s="199">
        <v>1.29</v>
      </c>
      <c r="L1664" s="199">
        <v>1.03</v>
      </c>
    </row>
    <row r="1665" spans="1:12" ht="15" customHeight="1" x14ac:dyDescent="0.25">
      <c r="A1665" s="49">
        <v>1987</v>
      </c>
      <c r="B1665" s="330" t="s">
        <v>48</v>
      </c>
      <c r="C1665" s="331">
        <v>40201619227</v>
      </c>
      <c r="D1665" s="331">
        <v>15191318757</v>
      </c>
      <c r="E1665" s="331">
        <v>158569517</v>
      </c>
      <c r="F1665" s="331">
        <v>131420</v>
      </c>
      <c r="G1665" s="332">
        <f t="shared" si="50"/>
        <v>3.2690225549854566E-6</v>
      </c>
      <c r="H1665" s="331">
        <v>606938</v>
      </c>
      <c r="I1665" s="331">
        <v>0</v>
      </c>
      <c r="J1665" s="331">
        <f t="shared" si="51"/>
        <v>606938</v>
      </c>
      <c r="K1665" s="199">
        <v>1.04</v>
      </c>
      <c r="L1665" s="199">
        <v>1.03</v>
      </c>
    </row>
    <row r="1666" spans="1:12" ht="15" customHeight="1" x14ac:dyDescent="0.25">
      <c r="A1666" s="49">
        <v>1988</v>
      </c>
      <c r="B1666" s="330" t="s">
        <v>48</v>
      </c>
      <c r="C1666" s="331">
        <v>44013950219</v>
      </c>
      <c r="D1666" s="331">
        <v>15925723857</v>
      </c>
      <c r="E1666" s="331">
        <v>136755320</v>
      </c>
      <c r="F1666" s="331">
        <v>138939</v>
      </c>
      <c r="G1666" s="332">
        <f t="shared" ref="G1666:G1729" si="52">F1666/C1666</f>
        <v>3.156703711179794E-6</v>
      </c>
      <c r="H1666" s="331">
        <v>660050</v>
      </c>
      <c r="I1666" s="331">
        <v>0</v>
      </c>
      <c r="J1666" s="331">
        <f t="shared" ref="J1666:J1729" si="53">H1666-I1666</f>
        <v>660050</v>
      </c>
      <c r="K1666" s="199">
        <v>0.86</v>
      </c>
      <c r="L1666" s="199">
        <v>1.03</v>
      </c>
    </row>
    <row r="1667" spans="1:12" ht="15" customHeight="1" x14ac:dyDescent="0.25">
      <c r="A1667" s="49">
        <v>1989</v>
      </c>
      <c r="B1667" s="330" t="s">
        <v>48</v>
      </c>
      <c r="C1667" s="331">
        <v>47045035502</v>
      </c>
      <c r="D1667" s="331">
        <v>16541125970</v>
      </c>
      <c r="E1667" s="331">
        <v>138920445</v>
      </c>
      <c r="F1667" s="331">
        <v>133779</v>
      </c>
      <c r="G1667" s="332">
        <f t="shared" si="52"/>
        <v>2.8436369230566893E-6</v>
      </c>
      <c r="H1667" s="331">
        <v>718449</v>
      </c>
      <c r="I1667" s="331">
        <v>0</v>
      </c>
      <c r="J1667" s="331">
        <f t="shared" si="53"/>
        <v>718449</v>
      </c>
      <c r="K1667" s="199">
        <v>0.84</v>
      </c>
      <c r="L1667" s="199">
        <v>1.03</v>
      </c>
    </row>
    <row r="1668" spans="1:12" ht="15" customHeight="1" x14ac:dyDescent="0.25">
      <c r="A1668" s="49">
        <v>1990</v>
      </c>
      <c r="B1668" s="330" t="s">
        <v>48</v>
      </c>
      <c r="C1668" s="331">
        <v>49042560811</v>
      </c>
      <c r="D1668" s="331">
        <v>16677887550</v>
      </c>
      <c r="E1668" s="331">
        <v>137143527</v>
      </c>
      <c r="F1668" s="331">
        <v>193240</v>
      </c>
      <c r="G1668" s="332">
        <f t="shared" si="52"/>
        <v>3.9402510147197948E-6</v>
      </c>
      <c r="H1668" s="331">
        <v>723017</v>
      </c>
      <c r="I1668" s="331">
        <v>0</v>
      </c>
      <c r="J1668" s="331">
        <f t="shared" si="53"/>
        <v>723017</v>
      </c>
      <c r="K1668" s="199">
        <v>0.82</v>
      </c>
      <c r="L1668" s="199">
        <v>1.03</v>
      </c>
    </row>
    <row r="1669" spans="1:12" ht="15" customHeight="1" x14ac:dyDescent="0.25">
      <c r="A1669" s="49">
        <v>1991</v>
      </c>
      <c r="B1669" s="330" t="s">
        <v>48</v>
      </c>
      <c r="C1669" s="331">
        <v>49516840373</v>
      </c>
      <c r="D1669" s="331">
        <v>17704401922</v>
      </c>
      <c r="E1669" s="331">
        <v>134655651</v>
      </c>
      <c r="F1669" s="331">
        <v>320177</v>
      </c>
      <c r="G1669" s="332">
        <f t="shared" si="52"/>
        <v>6.4660224196086352E-6</v>
      </c>
      <c r="H1669" s="331">
        <v>591166</v>
      </c>
      <c r="I1669" s="331">
        <v>0</v>
      </c>
      <c r="J1669" s="331">
        <f t="shared" si="53"/>
        <v>591166</v>
      </c>
      <c r="K1669" s="199">
        <v>0.76</v>
      </c>
      <c r="L1669" s="199">
        <v>1.03</v>
      </c>
    </row>
    <row r="1670" spans="1:12" ht="15" customHeight="1" x14ac:dyDescent="0.25">
      <c r="A1670" s="49">
        <v>1992</v>
      </c>
      <c r="B1670" s="330" t="s">
        <v>48</v>
      </c>
      <c r="C1670" s="331">
        <v>52493077889</v>
      </c>
      <c r="D1670" s="331">
        <v>17931892192</v>
      </c>
      <c r="E1670" s="331">
        <v>174256190</v>
      </c>
      <c r="F1670" s="331">
        <v>286236</v>
      </c>
      <c r="G1670" s="332">
        <f t="shared" si="52"/>
        <v>5.4528332403229339E-6</v>
      </c>
      <c r="H1670" s="331">
        <v>506641</v>
      </c>
      <c r="I1670" s="331">
        <v>0</v>
      </c>
      <c r="J1670" s="331">
        <f t="shared" si="53"/>
        <v>506641</v>
      </c>
      <c r="K1670" s="199">
        <v>0.97</v>
      </c>
      <c r="L1670" s="199">
        <v>1.03</v>
      </c>
    </row>
    <row r="1671" spans="1:12" ht="15" customHeight="1" x14ac:dyDescent="0.25">
      <c r="A1671" s="49">
        <v>1993</v>
      </c>
      <c r="B1671" s="330" t="s">
        <v>48</v>
      </c>
      <c r="C1671" s="331">
        <v>54944062422</v>
      </c>
      <c r="D1671" s="331">
        <v>18525135309</v>
      </c>
      <c r="E1671" s="331">
        <v>235930896</v>
      </c>
      <c r="F1671" s="331">
        <v>220766</v>
      </c>
      <c r="G1671" s="332">
        <f t="shared" si="52"/>
        <v>4.0180137810778934E-6</v>
      </c>
      <c r="H1671" s="331">
        <v>553441</v>
      </c>
      <c r="I1671" s="331">
        <v>0</v>
      </c>
      <c r="J1671" s="331">
        <f t="shared" si="53"/>
        <v>553441</v>
      </c>
      <c r="K1671" s="199">
        <v>1.27</v>
      </c>
      <c r="L1671" s="199">
        <v>1.03</v>
      </c>
    </row>
    <row r="1672" spans="1:12" ht="15" customHeight="1" x14ac:dyDescent="0.25">
      <c r="A1672" s="49">
        <v>1994</v>
      </c>
      <c r="B1672" s="330" t="s">
        <v>48</v>
      </c>
      <c r="C1672" s="331">
        <v>58121382327</v>
      </c>
      <c r="D1672" s="331">
        <v>19435665433</v>
      </c>
      <c r="E1672" s="331">
        <v>276651915</v>
      </c>
      <c r="F1672" s="331">
        <v>214048</v>
      </c>
      <c r="G1672" s="332">
        <f t="shared" si="52"/>
        <v>3.6827754507924885E-6</v>
      </c>
      <c r="H1672" s="331">
        <v>658588</v>
      </c>
      <c r="I1672" s="331">
        <v>0</v>
      </c>
      <c r="J1672" s="331">
        <f t="shared" si="53"/>
        <v>658588</v>
      </c>
      <c r="K1672" s="199">
        <v>1.42</v>
      </c>
      <c r="L1672" s="199">
        <v>1.03</v>
      </c>
    </row>
    <row r="1673" spans="1:12" ht="15" customHeight="1" x14ac:dyDescent="0.25">
      <c r="A1673" s="49">
        <v>1995</v>
      </c>
      <c r="B1673" s="330" t="s">
        <v>48</v>
      </c>
      <c r="C1673" s="331">
        <v>62022119417</v>
      </c>
      <c r="D1673" s="331">
        <v>20134872848</v>
      </c>
      <c r="E1673" s="331">
        <v>281131868</v>
      </c>
      <c r="F1673" s="331">
        <v>201492</v>
      </c>
      <c r="G1673" s="332">
        <f t="shared" si="52"/>
        <v>3.2487119417072339E-6</v>
      </c>
      <c r="H1673" s="331">
        <v>788787</v>
      </c>
      <c r="I1673" s="331">
        <v>0</v>
      </c>
      <c r="J1673" s="331">
        <f t="shared" si="53"/>
        <v>788787</v>
      </c>
      <c r="K1673" s="199">
        <v>1.4</v>
      </c>
      <c r="L1673" s="199">
        <v>0.85</v>
      </c>
    </row>
    <row r="1674" spans="1:12" ht="15" customHeight="1" x14ac:dyDescent="0.25">
      <c r="A1674" s="49">
        <v>1996</v>
      </c>
      <c r="B1674" s="330" t="s">
        <v>48</v>
      </c>
      <c r="C1674" s="331">
        <v>66698445627</v>
      </c>
      <c r="D1674" s="331">
        <v>20983179668</v>
      </c>
      <c r="E1674" s="331">
        <v>242920269</v>
      </c>
      <c r="F1674" s="331">
        <v>195184</v>
      </c>
      <c r="G1674" s="332">
        <f t="shared" si="52"/>
        <v>2.9263650474185584E-6</v>
      </c>
      <c r="H1674" s="331">
        <v>897198</v>
      </c>
      <c r="I1674" s="331">
        <v>0</v>
      </c>
      <c r="J1674" s="331">
        <f t="shared" si="53"/>
        <v>897198</v>
      </c>
      <c r="K1674" s="199">
        <v>1.1599999999999999</v>
      </c>
      <c r="L1674" s="199">
        <v>0.84</v>
      </c>
    </row>
    <row r="1675" spans="1:12" ht="15" customHeight="1" x14ac:dyDescent="0.25">
      <c r="A1675" s="49">
        <v>1997</v>
      </c>
      <c r="B1675" s="330" t="s">
        <v>48</v>
      </c>
      <c r="C1675" s="331">
        <v>73104052152</v>
      </c>
      <c r="D1675" s="331">
        <v>22208076015</v>
      </c>
      <c r="E1675" s="331">
        <v>190469221</v>
      </c>
      <c r="F1675" s="331">
        <v>180613</v>
      </c>
      <c r="G1675" s="332">
        <f t="shared" si="52"/>
        <v>2.4706291194975675E-6</v>
      </c>
      <c r="H1675" s="331">
        <v>979376</v>
      </c>
      <c r="I1675" s="331">
        <v>0</v>
      </c>
      <c r="J1675" s="331">
        <f t="shared" si="53"/>
        <v>979376</v>
      </c>
      <c r="K1675" s="199">
        <v>0.86</v>
      </c>
      <c r="L1675" s="199">
        <v>0.84</v>
      </c>
    </row>
    <row r="1676" spans="1:12" ht="15" customHeight="1" x14ac:dyDescent="0.25">
      <c r="A1676" s="49">
        <v>1998</v>
      </c>
      <c r="B1676" s="330" t="s">
        <v>48</v>
      </c>
      <c r="C1676" s="331">
        <v>80254921595</v>
      </c>
      <c r="D1676" s="331">
        <v>23198232519</v>
      </c>
      <c r="E1676" s="331">
        <v>139168269</v>
      </c>
      <c r="F1676" s="331">
        <v>180908</v>
      </c>
      <c r="G1676" s="332">
        <f t="shared" si="52"/>
        <v>2.2541670517471521E-6</v>
      </c>
      <c r="H1676" s="331">
        <v>1002685</v>
      </c>
      <c r="I1676" s="331">
        <v>0</v>
      </c>
      <c r="J1676" s="331">
        <f t="shared" si="53"/>
        <v>1002685</v>
      </c>
      <c r="K1676" s="199">
        <v>0.6</v>
      </c>
      <c r="L1676" s="199">
        <v>0.84</v>
      </c>
    </row>
    <row r="1677" spans="1:12" ht="15" customHeight="1" x14ac:dyDescent="0.25">
      <c r="A1677" s="49">
        <v>1999</v>
      </c>
      <c r="B1677" s="330" t="s">
        <v>48</v>
      </c>
      <c r="C1677" s="331">
        <v>87585680455</v>
      </c>
      <c r="D1677" s="331">
        <v>24174184834</v>
      </c>
      <c r="E1677" s="331">
        <v>143516441</v>
      </c>
      <c r="F1677" s="331">
        <v>173201</v>
      </c>
      <c r="G1677" s="332">
        <f t="shared" si="52"/>
        <v>1.9775036181740652E-6</v>
      </c>
      <c r="H1677" s="331">
        <v>1037875</v>
      </c>
      <c r="I1677" s="331">
        <v>0</v>
      </c>
      <c r="J1677" s="331">
        <f t="shared" si="53"/>
        <v>1037875</v>
      </c>
      <c r="K1677" s="199">
        <v>0.59</v>
      </c>
      <c r="L1677" s="199">
        <v>0.84</v>
      </c>
    </row>
    <row r="1678" spans="1:12" ht="15" customHeight="1" x14ac:dyDescent="0.25">
      <c r="A1678" s="49">
        <v>2000</v>
      </c>
      <c r="B1678" s="330" t="s">
        <v>48</v>
      </c>
      <c r="C1678" s="331">
        <v>96445026983</v>
      </c>
      <c r="D1678" s="331">
        <v>25446599649</v>
      </c>
      <c r="E1678" s="331">
        <v>149018905</v>
      </c>
      <c r="F1678" s="331">
        <v>191084</v>
      </c>
      <c r="G1678" s="332">
        <f t="shared" si="52"/>
        <v>1.981273747102395E-6</v>
      </c>
      <c r="H1678" s="331">
        <v>1067516</v>
      </c>
      <c r="I1678" s="331">
        <v>0</v>
      </c>
      <c r="J1678" s="331">
        <f t="shared" si="53"/>
        <v>1067516</v>
      </c>
      <c r="K1678" s="199">
        <v>0.59</v>
      </c>
      <c r="L1678" s="199">
        <v>0.84</v>
      </c>
    </row>
    <row r="1679" spans="1:12" ht="15" customHeight="1" x14ac:dyDescent="0.25">
      <c r="A1679" s="49">
        <v>2001</v>
      </c>
      <c r="B1679" s="330" t="s">
        <v>48</v>
      </c>
      <c r="C1679" s="331">
        <v>100749591000</v>
      </c>
      <c r="D1679" s="331">
        <v>25419732889</v>
      </c>
      <c r="E1679" s="331">
        <v>147553484</v>
      </c>
      <c r="F1679" s="331">
        <v>383617</v>
      </c>
      <c r="G1679" s="332">
        <f t="shared" si="52"/>
        <v>3.8076283604962725E-6</v>
      </c>
      <c r="H1679" s="331">
        <v>905531</v>
      </c>
      <c r="I1679" s="331">
        <v>0</v>
      </c>
      <c r="J1679" s="331">
        <f t="shared" si="53"/>
        <v>905531</v>
      </c>
      <c r="K1679" s="199">
        <v>0.57999999999999996</v>
      </c>
      <c r="L1679" s="199">
        <v>0.8</v>
      </c>
    </row>
    <row r="1680" spans="1:12" ht="15" customHeight="1" x14ac:dyDescent="0.25">
      <c r="A1680" s="49">
        <v>2002</v>
      </c>
      <c r="B1680" s="330" t="s">
        <v>48</v>
      </c>
      <c r="C1680" s="331">
        <v>99632479169</v>
      </c>
      <c r="D1680" s="331">
        <v>24845611153</v>
      </c>
      <c r="E1680" s="331">
        <v>144969766</v>
      </c>
      <c r="F1680" s="331">
        <v>733908</v>
      </c>
      <c r="G1680" s="332">
        <f t="shared" si="52"/>
        <v>7.3661521435707753E-6</v>
      </c>
      <c r="H1680" s="331">
        <v>580376</v>
      </c>
      <c r="I1680" s="331">
        <v>0</v>
      </c>
      <c r="J1680" s="331">
        <f t="shared" si="53"/>
        <v>580376</v>
      </c>
      <c r="K1680" s="199">
        <v>0.57999999999999996</v>
      </c>
      <c r="L1680" s="199">
        <v>0.83</v>
      </c>
    </row>
    <row r="1681" spans="1:12" x14ac:dyDescent="0.25">
      <c r="A1681" s="49">
        <v>2003</v>
      </c>
      <c r="B1681" s="330" t="s">
        <v>48</v>
      </c>
      <c r="C1681" s="331">
        <v>103388232521</v>
      </c>
      <c r="D1681" s="331">
        <v>24858909482</v>
      </c>
      <c r="E1681" s="331">
        <v>244476870</v>
      </c>
      <c r="F1681" s="331">
        <v>585652</v>
      </c>
      <c r="G1681" s="332">
        <f t="shared" si="52"/>
        <v>5.6645905024156751E-6</v>
      </c>
      <c r="H1681" s="331">
        <v>226323</v>
      </c>
      <c r="I1681" s="331">
        <v>0</v>
      </c>
      <c r="J1681" s="331">
        <f t="shared" si="53"/>
        <v>226323</v>
      </c>
      <c r="K1681" s="199">
        <v>0.98</v>
      </c>
      <c r="L1681" s="199">
        <v>0.83</v>
      </c>
    </row>
    <row r="1682" spans="1:12" ht="15" customHeight="1" x14ac:dyDescent="0.25">
      <c r="A1682" s="49">
        <v>2004</v>
      </c>
      <c r="B1682" s="330" t="s">
        <v>48</v>
      </c>
      <c r="C1682" s="331">
        <v>111603962228</v>
      </c>
      <c r="D1682" s="331">
        <v>25884517625</v>
      </c>
      <c r="E1682" s="331">
        <v>464918534</v>
      </c>
      <c r="F1682" s="331">
        <v>371373</v>
      </c>
      <c r="G1682" s="332">
        <f t="shared" si="52"/>
        <v>3.3275969113113376E-6</v>
      </c>
      <c r="H1682" s="331">
        <v>292018</v>
      </c>
      <c r="I1682" s="331">
        <v>0</v>
      </c>
      <c r="J1682" s="331">
        <f t="shared" si="53"/>
        <v>292018</v>
      </c>
      <c r="K1682" s="199">
        <v>1.8</v>
      </c>
      <c r="L1682" s="199">
        <v>0.83</v>
      </c>
    </row>
    <row r="1683" spans="1:12" ht="15" customHeight="1" x14ac:dyDescent="0.25">
      <c r="A1683" s="49">
        <v>2005</v>
      </c>
      <c r="B1683" s="330" t="s">
        <v>48</v>
      </c>
      <c r="C1683" s="331">
        <v>119454808146</v>
      </c>
      <c r="D1683" s="331">
        <v>26793481138</v>
      </c>
      <c r="E1683" s="331">
        <v>541478895</v>
      </c>
      <c r="F1683" s="331">
        <v>327078</v>
      </c>
      <c r="G1683" s="332">
        <f t="shared" si="52"/>
        <v>2.7380898691012828E-6</v>
      </c>
      <c r="H1683" s="331">
        <v>517974</v>
      </c>
      <c r="I1683" s="331">
        <v>0</v>
      </c>
      <c r="J1683" s="331">
        <f t="shared" si="53"/>
        <v>517974</v>
      </c>
      <c r="K1683" s="199">
        <v>2.02</v>
      </c>
      <c r="L1683" s="199">
        <v>0.83</v>
      </c>
    </row>
    <row r="1684" spans="1:12" ht="15" customHeight="1" x14ac:dyDescent="0.25">
      <c r="A1684" s="49">
        <v>2006</v>
      </c>
      <c r="B1684" s="330" t="s">
        <v>48</v>
      </c>
      <c r="C1684" s="331">
        <v>126244718001</v>
      </c>
      <c r="D1684" s="331">
        <v>27375790388</v>
      </c>
      <c r="E1684" s="331">
        <v>504656828</v>
      </c>
      <c r="F1684" s="331">
        <v>335277</v>
      </c>
      <c r="G1684" s="332">
        <f t="shared" si="52"/>
        <v>2.6557705170472498E-6</v>
      </c>
      <c r="H1684" s="331">
        <v>713062</v>
      </c>
      <c r="I1684" s="331">
        <v>0</v>
      </c>
      <c r="J1684" s="331">
        <f t="shared" si="53"/>
        <v>713062</v>
      </c>
      <c r="K1684" s="199">
        <v>1.84</v>
      </c>
      <c r="L1684" s="199">
        <v>0.83</v>
      </c>
    </row>
    <row r="1685" spans="1:12" ht="15" customHeight="1" x14ac:dyDescent="0.25">
      <c r="A1685" s="49">
        <v>2007</v>
      </c>
      <c r="B1685" s="330" t="s">
        <v>48</v>
      </c>
      <c r="C1685" s="331">
        <v>132522329935</v>
      </c>
      <c r="D1685" s="331">
        <v>27565189756</v>
      </c>
      <c r="E1685" s="331">
        <v>387938313</v>
      </c>
      <c r="F1685" s="331">
        <v>368386</v>
      </c>
      <c r="G1685" s="332">
        <f t="shared" si="52"/>
        <v>2.7798032239599712E-6</v>
      </c>
      <c r="H1685" s="331">
        <v>775202</v>
      </c>
      <c r="I1685" s="331">
        <v>0</v>
      </c>
      <c r="J1685" s="331">
        <f t="shared" si="53"/>
        <v>775202</v>
      </c>
      <c r="K1685" s="199">
        <v>1.41</v>
      </c>
      <c r="L1685" s="199">
        <v>0.83</v>
      </c>
    </row>
    <row r="1686" spans="1:12" ht="15" customHeight="1" x14ac:dyDescent="0.25">
      <c r="A1686" s="49">
        <v>2008</v>
      </c>
      <c r="B1686" s="330" t="s">
        <v>48</v>
      </c>
      <c r="C1686" s="331">
        <v>134708254522</v>
      </c>
      <c r="D1686" s="331">
        <v>27117490597</v>
      </c>
      <c r="E1686" s="331">
        <v>309742370</v>
      </c>
      <c r="F1686" s="331">
        <v>501279</v>
      </c>
      <c r="G1686" s="332">
        <f t="shared" si="52"/>
        <v>3.7212196222031306E-6</v>
      </c>
      <c r="H1686" s="331">
        <v>616445</v>
      </c>
      <c r="I1686" s="331">
        <v>0</v>
      </c>
      <c r="J1686" s="331">
        <f t="shared" si="53"/>
        <v>616445</v>
      </c>
      <c r="K1686" s="199">
        <v>1.1000000000000001</v>
      </c>
      <c r="L1686" s="199">
        <v>0.83</v>
      </c>
    </row>
    <row r="1687" spans="1:12" ht="15" customHeight="1" x14ac:dyDescent="0.25">
      <c r="A1687" s="49">
        <v>2009</v>
      </c>
      <c r="B1687" s="330" t="s">
        <v>48</v>
      </c>
      <c r="C1687" s="331">
        <v>131173082883</v>
      </c>
      <c r="D1687" s="331">
        <v>25458083778</v>
      </c>
      <c r="E1687" s="331">
        <v>305990501</v>
      </c>
      <c r="F1687" s="331">
        <v>1045930</v>
      </c>
      <c r="G1687" s="332">
        <f t="shared" si="52"/>
        <v>7.9736633233886751E-6</v>
      </c>
      <c r="H1687" s="331">
        <v>68552</v>
      </c>
      <c r="I1687" s="331">
        <v>122434</v>
      </c>
      <c r="J1687" s="331">
        <f t="shared" si="53"/>
        <v>-53882</v>
      </c>
      <c r="K1687" s="199">
        <v>1.2</v>
      </c>
      <c r="L1687" s="199">
        <v>0.73</v>
      </c>
    </row>
    <row r="1688" spans="1:12" ht="15" customHeight="1" x14ac:dyDescent="0.25">
      <c r="A1688" s="49">
        <v>2010</v>
      </c>
      <c r="B1688" s="330" t="s">
        <v>48</v>
      </c>
      <c r="C1688" s="331">
        <v>134643390811</v>
      </c>
      <c r="D1688" s="331">
        <v>25658827640</v>
      </c>
      <c r="E1688" s="331">
        <v>521263143</v>
      </c>
      <c r="F1688" s="331">
        <v>724846</v>
      </c>
      <c r="G1688" s="332">
        <f t="shared" si="52"/>
        <v>5.3834502802849947E-6</v>
      </c>
      <c r="H1688" s="331">
        <v>63269</v>
      </c>
      <c r="I1688" s="331">
        <v>346892</v>
      </c>
      <c r="J1688" s="331">
        <f t="shared" si="53"/>
        <v>-283623</v>
      </c>
      <c r="K1688" s="199">
        <v>2</v>
      </c>
      <c r="L1688" s="199">
        <v>0.73</v>
      </c>
    </row>
    <row r="1689" spans="1:12" ht="15" customHeight="1" x14ac:dyDescent="0.25">
      <c r="A1689" s="49">
        <v>2011</v>
      </c>
      <c r="B1689" s="330" t="s">
        <v>48</v>
      </c>
      <c r="C1689" s="331">
        <v>139485660444</v>
      </c>
      <c r="D1689" s="331">
        <v>26149678775</v>
      </c>
      <c r="E1689" s="331">
        <v>685576042</v>
      </c>
      <c r="F1689" s="331">
        <v>605241</v>
      </c>
      <c r="G1689" s="332">
        <f t="shared" si="52"/>
        <v>4.3390911873911878E-6</v>
      </c>
      <c r="H1689" s="331">
        <v>55334</v>
      </c>
      <c r="I1689" s="331">
        <v>275389</v>
      </c>
      <c r="J1689" s="331">
        <f t="shared" si="53"/>
        <v>-220055</v>
      </c>
      <c r="K1689" s="199">
        <v>2.6</v>
      </c>
      <c r="L1689" s="199">
        <v>0.73</v>
      </c>
    </row>
    <row r="1690" spans="1:12" ht="15" customHeight="1" x14ac:dyDescent="0.25">
      <c r="A1690" s="49">
        <v>2012</v>
      </c>
      <c r="B1690" s="330" t="s">
        <v>48</v>
      </c>
      <c r="C1690" s="331">
        <v>144376441145</v>
      </c>
      <c r="D1690" s="331">
        <v>26639460574</v>
      </c>
      <c r="E1690" s="331">
        <v>768999321</v>
      </c>
      <c r="F1690" s="331">
        <v>586949</v>
      </c>
      <c r="G1690" s="332">
        <f t="shared" si="52"/>
        <v>4.0654070383305542E-6</v>
      </c>
      <c r="H1690" s="331">
        <v>47016</v>
      </c>
      <c r="I1690" s="331">
        <v>0</v>
      </c>
      <c r="J1690" s="331">
        <f t="shared" si="53"/>
        <v>47016</v>
      </c>
      <c r="K1690" s="199">
        <v>2.89</v>
      </c>
      <c r="L1690" s="199">
        <v>0.73</v>
      </c>
    </row>
    <row r="1691" spans="1:12" ht="15" customHeight="1" x14ac:dyDescent="0.25">
      <c r="A1691" s="49">
        <v>2013</v>
      </c>
      <c r="B1691" s="330" t="s">
        <v>48</v>
      </c>
      <c r="C1691" s="331">
        <v>146131825042</v>
      </c>
      <c r="D1691" s="331">
        <v>27038306690</v>
      </c>
      <c r="E1691" s="331">
        <v>778161311</v>
      </c>
      <c r="F1691" s="331">
        <v>555209</v>
      </c>
      <c r="G1691" s="332">
        <f t="shared" si="52"/>
        <v>3.7993708751699122E-6</v>
      </c>
      <c r="H1691" s="331">
        <v>219464</v>
      </c>
      <c r="I1691" s="331">
        <v>0</v>
      </c>
      <c r="J1691" s="331">
        <f t="shared" si="53"/>
        <v>219464</v>
      </c>
      <c r="K1691" s="199">
        <v>2.88</v>
      </c>
      <c r="L1691" s="199">
        <v>0.73</v>
      </c>
    </row>
    <row r="1692" spans="1:12" ht="15" customHeight="1" x14ac:dyDescent="0.25">
      <c r="A1692" s="49">
        <v>2014</v>
      </c>
      <c r="B1692" s="330" t="s">
        <v>48</v>
      </c>
      <c r="C1692" s="331">
        <v>149362419298</v>
      </c>
      <c r="D1692" s="331">
        <v>27115920878</v>
      </c>
      <c r="E1692" s="331">
        <v>711305762</v>
      </c>
      <c r="F1692" s="331">
        <v>478026</v>
      </c>
      <c r="G1692" s="332">
        <f t="shared" si="52"/>
        <v>3.2004436072119842E-6</v>
      </c>
      <c r="H1692" s="331">
        <v>473102</v>
      </c>
      <c r="I1692" s="331">
        <v>0</v>
      </c>
      <c r="J1692" s="331">
        <f t="shared" si="53"/>
        <v>473102</v>
      </c>
      <c r="K1692" s="333">
        <v>2.623203413228369</v>
      </c>
      <c r="L1692" s="199">
        <v>0.73</v>
      </c>
    </row>
    <row r="1693" spans="1:12" ht="15" customHeight="1" x14ac:dyDescent="0.25">
      <c r="A1693" s="49">
        <v>2015</v>
      </c>
      <c r="B1693" s="330" t="s">
        <v>48</v>
      </c>
      <c r="C1693" s="334">
        <v>156764355000</v>
      </c>
      <c r="D1693" s="334">
        <v>28216511000</v>
      </c>
      <c r="E1693" s="334">
        <v>661471000</v>
      </c>
      <c r="F1693" s="331">
        <v>375787</v>
      </c>
      <c r="G1693" s="332">
        <f t="shared" si="52"/>
        <v>2.3971457031797821E-6</v>
      </c>
      <c r="H1693" s="331">
        <v>769647</v>
      </c>
      <c r="I1693" s="199">
        <v>0</v>
      </c>
      <c r="J1693" s="331">
        <f t="shared" si="53"/>
        <v>769647</v>
      </c>
      <c r="K1693" s="199">
        <v>2.2999999999999998</v>
      </c>
      <c r="L1693" s="199">
        <v>0.73</v>
      </c>
    </row>
    <row r="1694" spans="1:12" ht="15" customHeight="1" x14ac:dyDescent="0.25">
      <c r="A1694" s="49">
        <v>1980</v>
      </c>
      <c r="B1694" s="330" t="s">
        <v>49</v>
      </c>
      <c r="C1694" s="331">
        <v>266974408</v>
      </c>
      <c r="D1694" s="331">
        <v>144957019</v>
      </c>
      <c r="E1694" s="331">
        <v>5350778</v>
      </c>
      <c r="F1694" s="331">
        <v>3050</v>
      </c>
      <c r="G1694" s="332">
        <f t="shared" si="52"/>
        <v>1.1424315996610432E-5</v>
      </c>
      <c r="H1694" s="331">
        <v>2166</v>
      </c>
      <c r="I1694" s="331">
        <v>7405</v>
      </c>
      <c r="J1694" s="331">
        <f t="shared" si="53"/>
        <v>-5239</v>
      </c>
      <c r="K1694" s="199">
        <v>3.69</v>
      </c>
      <c r="L1694" s="199" t="e">
        <v>#N/A</v>
      </c>
    </row>
    <row r="1695" spans="1:12" ht="15" customHeight="1" x14ac:dyDescent="0.25">
      <c r="A1695" s="49">
        <v>1981</v>
      </c>
      <c r="B1695" s="330" t="s">
        <v>49</v>
      </c>
      <c r="C1695" s="331">
        <v>295209013</v>
      </c>
      <c r="D1695" s="331">
        <v>159226385</v>
      </c>
      <c r="E1695" s="331">
        <v>5878937</v>
      </c>
      <c r="F1695" s="331">
        <v>4520</v>
      </c>
      <c r="G1695" s="332">
        <f t="shared" si="52"/>
        <v>1.5311185637817909E-5</v>
      </c>
      <c r="H1695" s="331">
        <v>1337</v>
      </c>
      <c r="I1695" s="331">
        <v>4172</v>
      </c>
      <c r="J1695" s="331">
        <f t="shared" si="53"/>
        <v>-2835</v>
      </c>
      <c r="K1695" s="199">
        <v>3.69</v>
      </c>
      <c r="L1695" s="199" t="e">
        <v>#N/A</v>
      </c>
    </row>
    <row r="1696" spans="1:12" ht="15" customHeight="1" x14ac:dyDescent="0.25">
      <c r="A1696" s="49">
        <v>1982</v>
      </c>
      <c r="B1696" s="330" t="s">
        <v>49</v>
      </c>
      <c r="C1696" s="331">
        <v>309401013</v>
      </c>
      <c r="D1696" s="331">
        <v>184587162</v>
      </c>
      <c r="E1696" s="331">
        <v>5806077</v>
      </c>
      <c r="F1696" s="331">
        <v>6528</v>
      </c>
      <c r="G1696" s="332">
        <f t="shared" si="52"/>
        <v>2.1098832019661162E-5</v>
      </c>
      <c r="H1696" s="331">
        <v>30</v>
      </c>
      <c r="I1696" s="331">
        <v>2920</v>
      </c>
      <c r="J1696" s="331">
        <f t="shared" si="53"/>
        <v>-2890</v>
      </c>
      <c r="K1696" s="199">
        <v>3.15</v>
      </c>
      <c r="L1696" s="199" t="e">
        <v>#N/A</v>
      </c>
    </row>
    <row r="1697" spans="1:12" ht="15" customHeight="1" x14ac:dyDescent="0.25">
      <c r="A1697" s="49">
        <v>1983</v>
      </c>
      <c r="B1697" s="330" t="s">
        <v>49</v>
      </c>
      <c r="C1697" s="331">
        <v>303355005</v>
      </c>
      <c r="D1697" s="331">
        <v>183230653</v>
      </c>
      <c r="E1697" s="331">
        <v>6229880</v>
      </c>
      <c r="F1697" s="331">
        <v>0</v>
      </c>
      <c r="G1697" s="332">
        <f t="shared" si="52"/>
        <v>0</v>
      </c>
      <c r="H1697" s="331">
        <v>0</v>
      </c>
      <c r="I1697" s="331">
        <v>4405</v>
      </c>
      <c r="J1697" s="331">
        <f t="shared" si="53"/>
        <v>-4405</v>
      </c>
      <c r="K1697" s="199">
        <v>3.4</v>
      </c>
      <c r="L1697" s="199" t="e">
        <v>#N/A</v>
      </c>
    </row>
    <row r="1698" spans="1:12" ht="15" customHeight="1" x14ac:dyDescent="0.25">
      <c r="A1698" s="49">
        <v>1984</v>
      </c>
      <c r="B1698" s="330" t="s">
        <v>49</v>
      </c>
      <c r="C1698" s="331">
        <v>319489270</v>
      </c>
      <c r="D1698" s="331">
        <v>186728453</v>
      </c>
      <c r="E1698" s="331">
        <v>6348745</v>
      </c>
      <c r="F1698" s="331">
        <v>7276</v>
      </c>
      <c r="G1698" s="332">
        <f t="shared" si="52"/>
        <v>2.2773847772728016E-5</v>
      </c>
      <c r="H1698" s="331">
        <v>32</v>
      </c>
      <c r="I1698" s="331">
        <v>4140</v>
      </c>
      <c r="J1698" s="331">
        <f t="shared" si="53"/>
        <v>-4108</v>
      </c>
      <c r="K1698" s="199">
        <v>3.4</v>
      </c>
      <c r="L1698" s="199" t="e">
        <v>#N/A</v>
      </c>
    </row>
    <row r="1699" spans="1:12" ht="15" customHeight="1" x14ac:dyDescent="0.25">
      <c r="A1699" s="49">
        <v>1985</v>
      </c>
      <c r="B1699" s="330" t="s">
        <v>49</v>
      </c>
      <c r="C1699" s="331">
        <v>321390271</v>
      </c>
      <c r="D1699" s="331">
        <v>246244238</v>
      </c>
      <c r="E1699" s="331">
        <v>11349527</v>
      </c>
      <c r="F1699" s="331">
        <v>5181</v>
      </c>
      <c r="G1699" s="332">
        <f t="shared" si="52"/>
        <v>1.6120587545725676E-5</v>
      </c>
      <c r="H1699" s="331">
        <v>5192</v>
      </c>
      <c r="I1699" s="331">
        <v>3129</v>
      </c>
      <c r="J1699" s="331">
        <f t="shared" si="53"/>
        <v>2063</v>
      </c>
      <c r="K1699" s="199">
        <v>4.6100000000000003</v>
      </c>
      <c r="L1699" s="199" t="e">
        <v>#N/A</v>
      </c>
    </row>
    <row r="1700" spans="1:12" ht="15" customHeight="1" x14ac:dyDescent="0.25">
      <c r="A1700" s="49">
        <v>1986</v>
      </c>
      <c r="B1700" s="330" t="s">
        <v>49</v>
      </c>
      <c r="C1700" s="331">
        <v>343709403</v>
      </c>
      <c r="D1700" s="331">
        <v>267508889</v>
      </c>
      <c r="E1700" s="331">
        <v>9211499</v>
      </c>
      <c r="F1700" s="331">
        <v>3644</v>
      </c>
      <c r="G1700" s="332">
        <f t="shared" si="52"/>
        <v>1.0601979370346176E-5</v>
      </c>
      <c r="H1700" s="331">
        <v>9628</v>
      </c>
      <c r="I1700" s="331">
        <v>0</v>
      </c>
      <c r="J1700" s="331">
        <f t="shared" si="53"/>
        <v>9628</v>
      </c>
      <c r="K1700" s="199">
        <v>3.44</v>
      </c>
      <c r="L1700" s="199" t="e">
        <v>#N/A</v>
      </c>
    </row>
    <row r="1701" spans="1:12" ht="15" customHeight="1" x14ac:dyDescent="0.25">
      <c r="A1701" s="49">
        <v>1987</v>
      </c>
      <c r="B1701" s="330" t="s">
        <v>49</v>
      </c>
      <c r="C1701" s="331">
        <v>397367067</v>
      </c>
      <c r="D1701" s="331">
        <v>300099474</v>
      </c>
      <c r="E1701" s="331">
        <v>7752750</v>
      </c>
      <c r="F1701" s="331">
        <v>1681</v>
      </c>
      <c r="G1701" s="332">
        <f t="shared" si="52"/>
        <v>4.230345540940362E-6</v>
      </c>
      <c r="H1701" s="331">
        <v>16720</v>
      </c>
      <c r="I1701" s="331">
        <v>0</v>
      </c>
      <c r="J1701" s="331">
        <f t="shared" si="53"/>
        <v>16720</v>
      </c>
      <c r="K1701" s="199">
        <v>2.58</v>
      </c>
      <c r="L1701" s="199" t="e">
        <v>#N/A</v>
      </c>
    </row>
    <row r="1702" spans="1:12" ht="15" customHeight="1" x14ac:dyDescent="0.25">
      <c r="A1702" s="49">
        <v>1988</v>
      </c>
      <c r="B1702" s="330" t="s">
        <v>49</v>
      </c>
      <c r="C1702" s="331">
        <v>433466101</v>
      </c>
      <c r="D1702" s="331">
        <v>322973857</v>
      </c>
      <c r="E1702" s="331">
        <v>7218927</v>
      </c>
      <c r="F1702" s="331">
        <v>2464</v>
      </c>
      <c r="G1702" s="332">
        <f t="shared" si="52"/>
        <v>5.6844122165853061E-6</v>
      </c>
      <c r="H1702" s="331">
        <v>23198</v>
      </c>
      <c r="I1702" s="331">
        <v>0</v>
      </c>
      <c r="J1702" s="331">
        <f t="shared" si="53"/>
        <v>23198</v>
      </c>
      <c r="K1702" s="199">
        <v>2.2400000000000002</v>
      </c>
      <c r="L1702" s="199" t="e">
        <v>#N/A</v>
      </c>
    </row>
    <row r="1703" spans="1:12" ht="15" customHeight="1" x14ac:dyDescent="0.25">
      <c r="A1703" s="49">
        <v>1989</v>
      </c>
      <c r="B1703" s="330" t="s">
        <v>49</v>
      </c>
      <c r="C1703" s="331">
        <v>465862504</v>
      </c>
      <c r="D1703" s="331">
        <v>363811972</v>
      </c>
      <c r="E1703" s="331">
        <v>8022864</v>
      </c>
      <c r="F1703" s="331">
        <v>2965</v>
      </c>
      <c r="G1703" s="332">
        <f t="shared" si="52"/>
        <v>6.3645388382663227E-6</v>
      </c>
      <c r="H1703" s="331">
        <v>28353</v>
      </c>
      <c r="I1703" s="331">
        <v>0</v>
      </c>
      <c r="J1703" s="331">
        <f t="shared" si="53"/>
        <v>28353</v>
      </c>
      <c r="K1703" s="199">
        <v>2.21</v>
      </c>
      <c r="L1703" s="199" t="e">
        <v>#N/A</v>
      </c>
    </row>
    <row r="1704" spans="1:12" ht="15" customHeight="1" x14ac:dyDescent="0.25">
      <c r="A1704" s="49">
        <v>1990</v>
      </c>
      <c r="B1704" s="330" t="s">
        <v>49</v>
      </c>
      <c r="C1704" s="331">
        <v>550237676</v>
      </c>
      <c r="D1704" s="331">
        <v>413113731</v>
      </c>
      <c r="E1704" s="331">
        <v>10539067</v>
      </c>
      <c r="F1704" s="331">
        <v>1535</v>
      </c>
      <c r="G1704" s="332">
        <f t="shared" si="52"/>
        <v>2.7897035534876752E-6</v>
      </c>
      <c r="H1704" s="331">
        <v>37672</v>
      </c>
      <c r="I1704" s="331">
        <v>0</v>
      </c>
      <c r="J1704" s="331">
        <f t="shared" si="53"/>
        <v>37672</v>
      </c>
      <c r="K1704" s="199">
        <v>2.5499999999999998</v>
      </c>
      <c r="L1704" s="199" t="e">
        <v>#N/A</v>
      </c>
    </row>
    <row r="1705" spans="1:12" ht="15" customHeight="1" x14ac:dyDescent="0.25">
      <c r="A1705" s="49">
        <v>1991</v>
      </c>
      <c r="B1705" s="330" t="s">
        <v>49</v>
      </c>
      <c r="C1705" s="331">
        <v>591696869</v>
      </c>
      <c r="D1705" s="331">
        <v>452907770</v>
      </c>
      <c r="E1705" s="331">
        <v>7701992</v>
      </c>
      <c r="F1705" s="331">
        <v>3372</v>
      </c>
      <c r="G1705" s="332">
        <f t="shared" si="52"/>
        <v>5.6988640242407637E-6</v>
      </c>
      <c r="H1705" s="331">
        <v>43241</v>
      </c>
      <c r="I1705" s="331">
        <v>0</v>
      </c>
      <c r="J1705" s="331">
        <f t="shared" si="53"/>
        <v>43241</v>
      </c>
      <c r="K1705" s="199">
        <v>1.7</v>
      </c>
      <c r="L1705" s="199" t="e">
        <v>#N/A</v>
      </c>
    </row>
    <row r="1706" spans="1:12" ht="15" customHeight="1" x14ac:dyDescent="0.25">
      <c r="A1706" s="49">
        <v>1992</v>
      </c>
      <c r="B1706" s="330" t="s">
        <v>49</v>
      </c>
      <c r="C1706" s="331">
        <v>647406528</v>
      </c>
      <c r="D1706" s="331">
        <v>478121479</v>
      </c>
      <c r="E1706" s="331">
        <v>9357457</v>
      </c>
      <c r="F1706" s="331">
        <v>6126</v>
      </c>
      <c r="G1706" s="332">
        <f t="shared" si="52"/>
        <v>9.462369832637832E-6</v>
      </c>
      <c r="H1706" s="331">
        <v>47416</v>
      </c>
      <c r="I1706" s="331">
        <v>0</v>
      </c>
      <c r="J1706" s="331">
        <f t="shared" si="53"/>
        <v>47416</v>
      </c>
      <c r="K1706" s="199">
        <v>1.96</v>
      </c>
      <c r="L1706" s="199" t="e">
        <v>#N/A</v>
      </c>
    </row>
    <row r="1707" spans="1:12" ht="15" customHeight="1" x14ac:dyDescent="0.25">
      <c r="A1707" s="49">
        <v>1993</v>
      </c>
      <c r="B1707" s="330" t="s">
        <v>49</v>
      </c>
      <c r="C1707" s="331">
        <v>782014232</v>
      </c>
      <c r="D1707" s="331">
        <v>595128088</v>
      </c>
      <c r="E1707" s="331">
        <v>11322193</v>
      </c>
      <c r="F1707" s="331">
        <v>7283</v>
      </c>
      <c r="G1707" s="332">
        <f t="shared" si="52"/>
        <v>9.3131297385390805E-6</v>
      </c>
      <c r="H1707" s="331">
        <v>51575</v>
      </c>
      <c r="I1707" s="331">
        <v>0</v>
      </c>
      <c r="J1707" s="331">
        <f t="shared" si="53"/>
        <v>51575</v>
      </c>
      <c r="K1707" s="199">
        <v>1.9</v>
      </c>
      <c r="L1707" s="199" t="e">
        <v>#N/A</v>
      </c>
    </row>
    <row r="1708" spans="1:12" ht="15" customHeight="1" x14ac:dyDescent="0.25">
      <c r="A1708" s="49">
        <v>1994</v>
      </c>
      <c r="B1708" s="330" t="s">
        <v>49</v>
      </c>
      <c r="C1708" s="331">
        <v>611099524</v>
      </c>
      <c r="D1708" s="331">
        <v>456080952</v>
      </c>
      <c r="E1708" s="331">
        <v>6649361</v>
      </c>
      <c r="F1708" s="331">
        <v>17729</v>
      </c>
      <c r="G1708" s="332">
        <f t="shared" si="52"/>
        <v>2.9011640990903473E-5</v>
      </c>
      <c r="H1708" s="331">
        <v>40843</v>
      </c>
      <c r="I1708" s="331">
        <v>0</v>
      </c>
      <c r="J1708" s="331">
        <f t="shared" si="53"/>
        <v>40843</v>
      </c>
      <c r="K1708" s="199">
        <v>1.46</v>
      </c>
      <c r="L1708" s="199" t="e">
        <v>#N/A</v>
      </c>
    </row>
    <row r="1709" spans="1:12" ht="15" customHeight="1" x14ac:dyDescent="0.25">
      <c r="A1709" s="49">
        <v>1995</v>
      </c>
      <c r="B1709" s="330" t="s">
        <v>49</v>
      </c>
      <c r="C1709" s="331">
        <v>584016184</v>
      </c>
      <c r="D1709" s="331">
        <v>362093492</v>
      </c>
      <c r="E1709" s="331">
        <v>8414395</v>
      </c>
      <c r="F1709" s="331">
        <v>10540</v>
      </c>
      <c r="G1709" s="332">
        <f t="shared" si="52"/>
        <v>1.80474450687483E-5</v>
      </c>
      <c r="H1709" s="331">
        <v>40064</v>
      </c>
      <c r="I1709" s="331">
        <v>0</v>
      </c>
      <c r="J1709" s="331">
        <f t="shared" si="53"/>
        <v>40064</v>
      </c>
      <c r="K1709" s="199">
        <v>2.3199999999999998</v>
      </c>
      <c r="L1709" s="199" t="e">
        <v>#N/A</v>
      </c>
    </row>
    <row r="1710" spans="1:12" ht="15" customHeight="1" x14ac:dyDescent="0.25">
      <c r="A1710" s="49">
        <v>1996</v>
      </c>
      <c r="B1710" s="330" t="s">
        <v>49</v>
      </c>
      <c r="C1710" s="331">
        <v>595445099</v>
      </c>
      <c r="D1710" s="331">
        <v>351721210</v>
      </c>
      <c r="E1710" s="331">
        <v>9872623</v>
      </c>
      <c r="F1710" s="331">
        <v>7462</v>
      </c>
      <c r="G1710" s="332">
        <f t="shared" si="52"/>
        <v>1.2531801861383698E-5</v>
      </c>
      <c r="H1710" s="331">
        <v>42069</v>
      </c>
      <c r="I1710" s="331">
        <v>0</v>
      </c>
      <c r="J1710" s="331">
        <f t="shared" si="53"/>
        <v>42069</v>
      </c>
      <c r="K1710" s="199">
        <v>2.83</v>
      </c>
      <c r="L1710" s="199" t="e">
        <v>#N/A</v>
      </c>
    </row>
    <row r="1711" spans="1:12" ht="15" customHeight="1" x14ac:dyDescent="0.25">
      <c r="A1711" s="49">
        <v>1997</v>
      </c>
      <c r="B1711" s="330" t="s">
        <v>49</v>
      </c>
      <c r="C1711" s="331">
        <v>636015050</v>
      </c>
      <c r="D1711" s="331">
        <v>357237011</v>
      </c>
      <c r="E1711" s="331">
        <v>8688366</v>
      </c>
      <c r="F1711" s="331">
        <v>5724</v>
      </c>
      <c r="G1711" s="332">
        <f t="shared" si="52"/>
        <v>8.9997870333414285E-6</v>
      </c>
      <c r="H1711" s="331">
        <v>45434</v>
      </c>
      <c r="I1711" s="331">
        <v>0</v>
      </c>
      <c r="J1711" s="331">
        <f t="shared" si="53"/>
        <v>45434</v>
      </c>
      <c r="K1711" s="199">
        <v>2.81</v>
      </c>
      <c r="L1711" s="199">
        <v>2.4500000000000002</v>
      </c>
    </row>
    <row r="1712" spans="1:12" ht="15" customHeight="1" x14ac:dyDescent="0.25">
      <c r="A1712" s="49">
        <v>1998</v>
      </c>
      <c r="B1712" s="330" t="s">
        <v>49</v>
      </c>
      <c r="C1712" s="331">
        <v>627560560</v>
      </c>
      <c r="D1712" s="331">
        <v>364675936</v>
      </c>
      <c r="E1712" s="331">
        <v>5890465</v>
      </c>
      <c r="F1712" s="331">
        <v>4112</v>
      </c>
      <c r="G1712" s="332">
        <f t="shared" si="52"/>
        <v>6.5523556802231164E-6</v>
      </c>
      <c r="H1712" s="331">
        <v>48326</v>
      </c>
      <c r="I1712" s="331">
        <v>0</v>
      </c>
      <c r="J1712" s="331">
        <f t="shared" si="53"/>
        <v>48326</v>
      </c>
      <c r="K1712" s="199">
        <v>1.62</v>
      </c>
      <c r="L1712" s="199">
        <v>2.4500000000000002</v>
      </c>
    </row>
    <row r="1713" spans="1:12" ht="15" customHeight="1" x14ac:dyDescent="0.25">
      <c r="A1713" s="49">
        <v>1999</v>
      </c>
      <c r="B1713" s="330" t="s">
        <v>49</v>
      </c>
      <c r="C1713" s="331">
        <v>640299273</v>
      </c>
      <c r="D1713" s="331">
        <v>370678332</v>
      </c>
      <c r="E1713" s="331">
        <v>6148033</v>
      </c>
      <c r="F1713" s="331">
        <v>3220</v>
      </c>
      <c r="G1713" s="332">
        <f t="shared" si="52"/>
        <v>5.0288984163816159E-6</v>
      </c>
      <c r="H1713" s="331">
        <v>51786</v>
      </c>
      <c r="I1713" s="331">
        <v>0</v>
      </c>
      <c r="J1713" s="331">
        <f t="shared" si="53"/>
        <v>51786</v>
      </c>
      <c r="K1713" s="199">
        <v>1.59</v>
      </c>
      <c r="L1713" s="199">
        <v>2.4500000000000002</v>
      </c>
    </row>
    <row r="1714" spans="1:12" ht="15" customHeight="1" x14ac:dyDescent="0.25">
      <c r="A1714" s="49">
        <v>2000</v>
      </c>
      <c r="B1714" s="330" t="s">
        <v>49</v>
      </c>
      <c r="C1714" s="331">
        <v>726142677</v>
      </c>
      <c r="D1714" s="331">
        <v>421590583</v>
      </c>
      <c r="E1714" s="331">
        <v>10727998</v>
      </c>
      <c r="F1714" s="331">
        <v>2367</v>
      </c>
      <c r="G1714" s="332">
        <f t="shared" si="52"/>
        <v>3.2596899686148044E-6</v>
      </c>
      <c r="H1714" s="331">
        <v>58671</v>
      </c>
      <c r="I1714" s="331">
        <v>0</v>
      </c>
      <c r="J1714" s="331">
        <f t="shared" si="53"/>
        <v>58671</v>
      </c>
      <c r="K1714" s="199">
        <v>2.54</v>
      </c>
      <c r="L1714" s="199">
        <v>2.4500000000000002</v>
      </c>
    </row>
    <row r="1715" spans="1:12" ht="15" customHeight="1" x14ac:dyDescent="0.25">
      <c r="A1715" s="49">
        <v>2001</v>
      </c>
      <c r="B1715" s="330" t="s">
        <v>49</v>
      </c>
      <c r="C1715" s="331">
        <v>863709317</v>
      </c>
      <c r="D1715" s="331">
        <v>486569102</v>
      </c>
      <c r="E1715" s="331">
        <v>12920994</v>
      </c>
      <c r="F1715" s="331">
        <v>5758</v>
      </c>
      <c r="G1715" s="332">
        <f t="shared" si="52"/>
        <v>6.6665947520397075E-6</v>
      </c>
      <c r="H1715" s="331">
        <v>64119</v>
      </c>
      <c r="I1715" s="331">
        <v>0</v>
      </c>
      <c r="J1715" s="331">
        <f t="shared" si="53"/>
        <v>64119</v>
      </c>
      <c r="K1715" s="199">
        <v>2.65</v>
      </c>
      <c r="L1715" s="199">
        <v>2.4500000000000002</v>
      </c>
    </row>
    <row r="1716" spans="1:12" x14ac:dyDescent="0.25">
      <c r="A1716" s="49">
        <v>2002</v>
      </c>
      <c r="B1716" s="330" t="s">
        <v>49</v>
      </c>
      <c r="C1716" s="331">
        <v>821650419</v>
      </c>
      <c r="D1716" s="331">
        <v>477726133</v>
      </c>
      <c r="E1716" s="331">
        <v>1302799</v>
      </c>
      <c r="F1716" s="331">
        <v>19003</v>
      </c>
      <c r="G1716" s="332">
        <f t="shared" si="52"/>
        <v>2.3127840697906344E-5</v>
      </c>
      <c r="H1716" s="331">
        <v>52566</v>
      </c>
      <c r="I1716" s="331">
        <v>0</v>
      </c>
      <c r="J1716" s="331">
        <f t="shared" si="53"/>
        <v>52566</v>
      </c>
      <c r="K1716" s="199">
        <v>0.27</v>
      </c>
      <c r="L1716" s="199">
        <v>2.5</v>
      </c>
    </row>
    <row r="1717" spans="1:12" ht="15" customHeight="1" x14ac:dyDescent="0.25">
      <c r="A1717" s="49">
        <v>2003</v>
      </c>
      <c r="B1717" s="330" t="s">
        <v>49</v>
      </c>
      <c r="C1717" s="331">
        <v>785068337</v>
      </c>
      <c r="D1717" s="331">
        <v>454722576</v>
      </c>
      <c r="E1717" s="331">
        <v>904757</v>
      </c>
      <c r="F1717" s="331">
        <v>16382</v>
      </c>
      <c r="G1717" s="332">
        <f t="shared" si="52"/>
        <v>2.086697326579355E-5</v>
      </c>
      <c r="H1717" s="331">
        <v>36462</v>
      </c>
      <c r="I1717" s="331">
        <v>0</v>
      </c>
      <c r="J1717" s="331">
        <f t="shared" si="53"/>
        <v>36462</v>
      </c>
      <c r="K1717" s="199">
        <v>0.2</v>
      </c>
      <c r="L1717" s="199">
        <v>2.5</v>
      </c>
    </row>
    <row r="1718" spans="1:12" ht="15" customHeight="1" x14ac:dyDescent="0.25">
      <c r="A1718" s="49">
        <v>2004</v>
      </c>
      <c r="B1718" s="330" t="s">
        <v>49</v>
      </c>
      <c r="C1718" s="331">
        <v>880909221</v>
      </c>
      <c r="D1718" s="331">
        <v>499228606</v>
      </c>
      <c r="E1718" s="331">
        <v>968334</v>
      </c>
      <c r="F1718" s="331">
        <v>4076</v>
      </c>
      <c r="G1718" s="332">
        <f t="shared" si="52"/>
        <v>4.6270375003828004E-6</v>
      </c>
      <c r="H1718" s="331">
        <v>36012</v>
      </c>
      <c r="I1718" s="331">
        <v>0</v>
      </c>
      <c r="J1718" s="331">
        <f t="shared" si="53"/>
        <v>36012</v>
      </c>
      <c r="K1718" s="199">
        <v>0.2</v>
      </c>
      <c r="L1718" s="199">
        <v>2.5</v>
      </c>
    </row>
    <row r="1719" spans="1:12" ht="15" customHeight="1" x14ac:dyDescent="0.25">
      <c r="A1719" s="49">
        <v>2005</v>
      </c>
      <c r="B1719" s="330" t="s">
        <v>49</v>
      </c>
      <c r="C1719" s="331">
        <v>986659894</v>
      </c>
      <c r="D1719" s="331">
        <v>555469583</v>
      </c>
      <c r="E1719" s="331">
        <v>1742974</v>
      </c>
      <c r="F1719" s="331">
        <v>5667</v>
      </c>
      <c r="G1719" s="332">
        <f t="shared" si="52"/>
        <v>5.7436205063788677E-6</v>
      </c>
      <c r="H1719" s="331">
        <v>32277</v>
      </c>
      <c r="I1719" s="331">
        <v>0</v>
      </c>
      <c r="J1719" s="331">
        <f t="shared" si="53"/>
        <v>32277</v>
      </c>
      <c r="K1719" s="199">
        <v>0.31</v>
      </c>
      <c r="L1719" s="199">
        <v>2.5</v>
      </c>
    </row>
    <row r="1720" spans="1:12" ht="15" customHeight="1" x14ac:dyDescent="0.25">
      <c r="A1720" s="49">
        <v>2006</v>
      </c>
      <c r="B1720" s="330" t="s">
        <v>49</v>
      </c>
      <c r="C1720" s="331">
        <v>1030099975</v>
      </c>
      <c r="D1720" s="331">
        <v>587061184</v>
      </c>
      <c r="E1720" s="331">
        <v>1640681</v>
      </c>
      <c r="F1720" s="331">
        <v>4968</v>
      </c>
      <c r="G1720" s="332">
        <f t="shared" si="52"/>
        <v>4.8228328517336386E-6</v>
      </c>
      <c r="H1720" s="331">
        <v>29396</v>
      </c>
      <c r="I1720" s="331">
        <v>0</v>
      </c>
      <c r="J1720" s="331">
        <f t="shared" si="53"/>
        <v>29396</v>
      </c>
      <c r="K1720" s="199">
        <v>0.28000000000000003</v>
      </c>
      <c r="L1720" s="199">
        <v>2.5</v>
      </c>
    </row>
    <row r="1721" spans="1:12" ht="15" customHeight="1" x14ac:dyDescent="0.25">
      <c r="A1721" s="49">
        <v>2007</v>
      </c>
      <c r="B1721" s="330" t="s">
        <v>49</v>
      </c>
      <c r="C1721" s="331">
        <v>1110200735</v>
      </c>
      <c r="D1721" s="331">
        <v>614657549</v>
      </c>
      <c r="E1721" s="331">
        <v>1227975</v>
      </c>
      <c r="F1721" s="331">
        <v>8791</v>
      </c>
      <c r="G1721" s="332">
        <f t="shared" si="52"/>
        <v>7.918387840015257E-6</v>
      </c>
      <c r="H1721" s="331">
        <v>22287</v>
      </c>
      <c r="I1721" s="331">
        <v>0</v>
      </c>
      <c r="J1721" s="331">
        <f t="shared" si="53"/>
        <v>22287</v>
      </c>
      <c r="K1721" s="199">
        <v>0.2</v>
      </c>
      <c r="L1721" s="199">
        <v>2.5</v>
      </c>
    </row>
    <row r="1722" spans="1:12" ht="15" customHeight="1" x14ac:dyDescent="0.25">
      <c r="A1722" s="49">
        <v>2008</v>
      </c>
      <c r="B1722" s="330" t="s">
        <v>49</v>
      </c>
      <c r="C1722" s="331">
        <v>1111636369</v>
      </c>
      <c r="D1722" s="331">
        <v>632367178</v>
      </c>
      <c r="E1722" s="331">
        <v>978630</v>
      </c>
      <c r="F1722" s="331">
        <v>12388</v>
      </c>
      <c r="G1722" s="332">
        <f t="shared" si="52"/>
        <v>1.1143931905667976E-5</v>
      </c>
      <c r="H1722" s="331">
        <v>11499</v>
      </c>
      <c r="I1722" s="331">
        <v>0</v>
      </c>
      <c r="J1722" s="331">
        <f t="shared" si="53"/>
        <v>11499</v>
      </c>
      <c r="K1722" s="199">
        <v>0.2</v>
      </c>
      <c r="L1722" s="199">
        <v>2.5</v>
      </c>
    </row>
    <row r="1723" spans="1:12" ht="15" customHeight="1" x14ac:dyDescent="0.25">
      <c r="A1723" s="49">
        <v>2009</v>
      </c>
      <c r="B1723" s="330" t="s">
        <v>49</v>
      </c>
      <c r="C1723" s="331">
        <v>1035697322</v>
      </c>
      <c r="D1723" s="331">
        <v>588603460</v>
      </c>
      <c r="E1723" s="331">
        <v>866789</v>
      </c>
      <c r="F1723" s="331">
        <v>19326</v>
      </c>
      <c r="G1723" s="332">
        <f t="shared" si="52"/>
        <v>1.865989183276077E-5</v>
      </c>
      <c r="H1723" s="331">
        <v>809</v>
      </c>
      <c r="I1723" s="331">
        <v>8387</v>
      </c>
      <c r="J1723" s="331">
        <f t="shared" si="53"/>
        <v>-7578</v>
      </c>
      <c r="K1723" s="199">
        <v>0.1</v>
      </c>
      <c r="L1723" s="199">
        <v>2.44</v>
      </c>
    </row>
    <row r="1724" spans="1:12" ht="15" customHeight="1" x14ac:dyDescent="0.25">
      <c r="A1724" s="49">
        <v>2010</v>
      </c>
      <c r="B1724" s="330" t="s">
        <v>49</v>
      </c>
      <c r="C1724" s="331">
        <v>1089014575</v>
      </c>
      <c r="D1724" s="331">
        <v>622426432</v>
      </c>
      <c r="E1724" s="331">
        <v>1444805</v>
      </c>
      <c r="F1724" s="331">
        <v>11953</v>
      </c>
      <c r="G1724" s="332">
        <f t="shared" si="52"/>
        <v>1.0975977984500345E-5</v>
      </c>
      <c r="H1724" s="331">
        <v>194</v>
      </c>
      <c r="I1724" s="331">
        <v>17389</v>
      </c>
      <c r="J1724" s="331">
        <f t="shared" si="53"/>
        <v>-17195</v>
      </c>
      <c r="K1724" s="199">
        <v>0.2</v>
      </c>
      <c r="L1724" s="199">
        <v>2.44</v>
      </c>
    </row>
    <row r="1725" spans="1:12" ht="15" customHeight="1" x14ac:dyDescent="0.25">
      <c r="A1725" s="49">
        <v>2011</v>
      </c>
      <c r="B1725" s="330" t="s">
        <v>49</v>
      </c>
      <c r="C1725" s="331">
        <v>1086715581</v>
      </c>
      <c r="D1725" s="331">
        <v>615258485</v>
      </c>
      <c r="E1725" s="331">
        <v>2541823</v>
      </c>
      <c r="F1725" s="331">
        <v>13646</v>
      </c>
      <c r="G1725" s="332">
        <f t="shared" si="52"/>
        <v>1.2557103476369499E-5</v>
      </c>
      <c r="H1725" s="331">
        <v>905</v>
      </c>
      <c r="I1725" s="331">
        <v>30800</v>
      </c>
      <c r="J1725" s="331">
        <f t="shared" si="53"/>
        <v>-29895</v>
      </c>
      <c r="K1725" s="199">
        <v>0.4</v>
      </c>
      <c r="L1725" s="199">
        <v>2.44</v>
      </c>
    </row>
    <row r="1726" spans="1:12" ht="15" customHeight="1" x14ac:dyDescent="0.25">
      <c r="A1726" s="49">
        <v>2012</v>
      </c>
      <c r="B1726" s="330" t="s">
        <v>49</v>
      </c>
      <c r="C1726" s="331">
        <v>1036519199</v>
      </c>
      <c r="D1726" s="331">
        <v>601904325</v>
      </c>
      <c r="E1726" s="331">
        <v>3436856</v>
      </c>
      <c r="F1726" s="331">
        <v>20722</v>
      </c>
      <c r="G1726" s="332">
        <f t="shared" si="52"/>
        <v>1.9991911408869137E-5</v>
      </c>
      <c r="H1726" s="331">
        <v>4144</v>
      </c>
      <c r="I1726" s="331">
        <v>54743</v>
      </c>
      <c r="J1726" s="331">
        <f t="shared" si="53"/>
        <v>-50599</v>
      </c>
      <c r="K1726" s="199">
        <v>0.56999999999999995</v>
      </c>
      <c r="L1726" s="199">
        <v>2.44</v>
      </c>
    </row>
    <row r="1727" spans="1:12" ht="15" customHeight="1" x14ac:dyDescent="0.25">
      <c r="A1727" s="49">
        <v>2013</v>
      </c>
      <c r="B1727" s="330" t="s">
        <v>49</v>
      </c>
      <c r="C1727" s="331">
        <v>915520212</v>
      </c>
      <c r="D1727" s="331">
        <v>550896517</v>
      </c>
      <c r="E1727" s="331">
        <v>8635524</v>
      </c>
      <c r="F1727" s="331">
        <v>14382</v>
      </c>
      <c r="G1727" s="332">
        <f t="shared" si="52"/>
        <v>1.5709101570332126E-5</v>
      </c>
      <c r="H1727" s="331">
        <v>12362</v>
      </c>
      <c r="I1727" s="331">
        <v>82344</v>
      </c>
      <c r="J1727" s="331">
        <f t="shared" si="53"/>
        <v>-69982</v>
      </c>
      <c r="K1727" s="199">
        <v>1.57</v>
      </c>
      <c r="L1727" s="199">
        <v>2.44</v>
      </c>
    </row>
    <row r="1728" spans="1:12" ht="15" customHeight="1" x14ac:dyDescent="0.25">
      <c r="A1728" s="49">
        <v>2014</v>
      </c>
      <c r="B1728" s="330" t="s">
        <v>49</v>
      </c>
      <c r="C1728" s="331">
        <v>908592862</v>
      </c>
      <c r="D1728" s="331">
        <v>521468506</v>
      </c>
      <c r="E1728" s="331">
        <v>8159482</v>
      </c>
      <c r="F1728" s="331">
        <v>10738</v>
      </c>
      <c r="G1728" s="332">
        <f t="shared" si="52"/>
        <v>1.1818274663047044E-5</v>
      </c>
      <c r="H1728" s="331">
        <v>-39419</v>
      </c>
      <c r="I1728" s="331">
        <v>76890</v>
      </c>
      <c r="J1728" s="331">
        <f t="shared" si="53"/>
        <v>-116309</v>
      </c>
      <c r="K1728" s="333">
        <v>1.564712327996276</v>
      </c>
      <c r="L1728" s="199">
        <v>2.44</v>
      </c>
    </row>
    <row r="1729" spans="1:12" ht="15" customHeight="1" x14ac:dyDescent="0.25">
      <c r="A1729" s="49">
        <v>2015</v>
      </c>
      <c r="B1729" s="330" t="s">
        <v>49</v>
      </c>
      <c r="C1729" s="334">
        <v>910566000</v>
      </c>
      <c r="D1729" s="334">
        <v>540708000</v>
      </c>
      <c r="E1729" s="334">
        <v>7883000</v>
      </c>
      <c r="F1729" s="331">
        <v>9868</v>
      </c>
      <c r="G1729" s="332">
        <f t="shared" si="52"/>
        <v>1.083721553407441E-5</v>
      </c>
      <c r="H1729" s="331">
        <v>2478</v>
      </c>
      <c r="I1729" s="331">
        <v>72145</v>
      </c>
      <c r="J1729" s="331">
        <f t="shared" si="53"/>
        <v>-69667</v>
      </c>
      <c r="K1729" s="199">
        <v>1.6</v>
      </c>
      <c r="L1729" s="199">
        <v>2.4300000000000002</v>
      </c>
    </row>
    <row r="1730" spans="1:12" ht="15" customHeight="1" x14ac:dyDescent="0.25">
      <c r="A1730" s="49">
        <v>1980</v>
      </c>
      <c r="B1730" s="330" t="s">
        <v>50</v>
      </c>
      <c r="C1730" s="331">
        <v>1767395403</v>
      </c>
      <c r="D1730" s="331">
        <v>875934085</v>
      </c>
      <c r="E1730" s="331">
        <v>27018684</v>
      </c>
      <c r="F1730" s="331">
        <v>28074</v>
      </c>
      <c r="G1730" s="332">
        <f t="shared" ref="G1730:G1793" si="54">F1730/C1730</f>
        <v>1.5884391207732478E-5</v>
      </c>
      <c r="H1730" s="331">
        <v>18262</v>
      </c>
      <c r="I1730" s="331">
        <v>40739</v>
      </c>
      <c r="J1730" s="331">
        <f t="shared" ref="J1730:J1793" si="55">H1730-I1730</f>
        <v>-22477</v>
      </c>
      <c r="K1730" s="199">
        <v>3.08</v>
      </c>
      <c r="L1730" s="199">
        <v>2.5</v>
      </c>
    </row>
    <row r="1731" spans="1:12" ht="15" customHeight="1" x14ac:dyDescent="0.25">
      <c r="A1731" s="49">
        <v>1981</v>
      </c>
      <c r="B1731" s="330" t="s">
        <v>50</v>
      </c>
      <c r="C1731" s="331">
        <v>1957825391</v>
      </c>
      <c r="D1731" s="331">
        <v>918177026</v>
      </c>
      <c r="E1731" s="331">
        <v>28116334</v>
      </c>
      <c r="F1731" s="331">
        <v>27108</v>
      </c>
      <c r="G1731" s="332">
        <f t="shared" si="54"/>
        <v>1.3845974275649795E-5</v>
      </c>
      <c r="H1731" s="331">
        <v>19060</v>
      </c>
      <c r="I1731" s="331">
        <v>36152</v>
      </c>
      <c r="J1731" s="331">
        <f t="shared" si="55"/>
        <v>-17092</v>
      </c>
      <c r="K1731" s="199">
        <v>3.06</v>
      </c>
      <c r="L1731" s="199">
        <v>2.5</v>
      </c>
    </row>
    <row r="1732" spans="1:12" ht="15" customHeight="1" x14ac:dyDescent="0.25">
      <c r="A1732" s="49">
        <v>1982</v>
      </c>
      <c r="B1732" s="330" t="s">
        <v>50</v>
      </c>
      <c r="C1732" s="331">
        <v>2087889238</v>
      </c>
      <c r="D1732" s="331">
        <v>911590612</v>
      </c>
      <c r="E1732" s="331">
        <v>27859057</v>
      </c>
      <c r="F1732" s="331">
        <v>42691</v>
      </c>
      <c r="G1732" s="332">
        <f t="shared" si="54"/>
        <v>2.0446965874920613E-5</v>
      </c>
      <c r="H1732" s="331">
        <v>4153</v>
      </c>
      <c r="I1732" s="331">
        <v>31032</v>
      </c>
      <c r="J1732" s="331">
        <f t="shared" si="55"/>
        <v>-26879</v>
      </c>
      <c r="K1732" s="199">
        <v>3.06</v>
      </c>
      <c r="L1732" s="199">
        <v>2.5</v>
      </c>
    </row>
    <row r="1733" spans="1:12" ht="15" customHeight="1" x14ac:dyDescent="0.25">
      <c r="A1733" s="49">
        <v>1983</v>
      </c>
      <c r="B1733" s="330" t="s">
        <v>50</v>
      </c>
      <c r="C1733" s="331">
        <v>2228295172</v>
      </c>
      <c r="D1733" s="331">
        <v>1145873162</v>
      </c>
      <c r="E1733" s="331">
        <v>35868627</v>
      </c>
      <c r="F1733" s="331">
        <v>35810</v>
      </c>
      <c r="G1733" s="332">
        <f t="shared" si="54"/>
        <v>1.6070581873522096E-5</v>
      </c>
      <c r="H1733" s="331">
        <v>2785</v>
      </c>
      <c r="I1733" s="331">
        <v>25183</v>
      </c>
      <c r="J1733" s="331">
        <f t="shared" si="55"/>
        <v>-22398</v>
      </c>
      <c r="K1733" s="199">
        <v>3.13</v>
      </c>
      <c r="L1733" s="199">
        <v>2.5</v>
      </c>
    </row>
    <row r="1734" spans="1:12" ht="15" customHeight="1" x14ac:dyDescent="0.25">
      <c r="A1734" s="49">
        <v>1984</v>
      </c>
      <c r="B1734" s="330" t="s">
        <v>50</v>
      </c>
      <c r="C1734" s="331">
        <v>2448391732</v>
      </c>
      <c r="D1734" s="331">
        <v>1235046241</v>
      </c>
      <c r="E1734" s="331">
        <v>42361934</v>
      </c>
      <c r="F1734" s="331">
        <v>29914</v>
      </c>
      <c r="G1734" s="332">
        <f t="shared" si="54"/>
        <v>1.2217816131720216E-5</v>
      </c>
      <c r="H1734" s="331">
        <v>14336</v>
      </c>
      <c r="I1734" s="331">
        <v>18972</v>
      </c>
      <c r="J1734" s="331">
        <f t="shared" si="55"/>
        <v>-4636</v>
      </c>
      <c r="K1734" s="199">
        <v>3.43</v>
      </c>
      <c r="L1734" s="199">
        <v>2.5</v>
      </c>
    </row>
    <row r="1735" spans="1:12" ht="15" customHeight="1" x14ac:dyDescent="0.25">
      <c r="A1735" s="49">
        <v>1985</v>
      </c>
      <c r="B1735" s="330" t="s">
        <v>50</v>
      </c>
      <c r="C1735" s="331">
        <v>2707733539</v>
      </c>
      <c r="D1735" s="331">
        <v>1316993567</v>
      </c>
      <c r="E1735" s="331">
        <v>53482194</v>
      </c>
      <c r="F1735" s="331">
        <v>30477</v>
      </c>
      <c r="G1735" s="332">
        <f t="shared" si="54"/>
        <v>1.1255538833874893E-5</v>
      </c>
      <c r="H1735" s="331">
        <v>41089</v>
      </c>
      <c r="I1735" s="331">
        <v>12202</v>
      </c>
      <c r="J1735" s="331">
        <f t="shared" si="55"/>
        <v>28887</v>
      </c>
      <c r="K1735" s="199">
        <v>4.0599999999999996</v>
      </c>
      <c r="L1735" s="199">
        <v>2.5</v>
      </c>
    </row>
    <row r="1736" spans="1:12" ht="15" customHeight="1" x14ac:dyDescent="0.25">
      <c r="A1736" s="49">
        <v>1986</v>
      </c>
      <c r="B1736" s="330" t="s">
        <v>50</v>
      </c>
      <c r="C1736" s="331">
        <v>2977303531</v>
      </c>
      <c r="D1736" s="331">
        <v>1397249831</v>
      </c>
      <c r="E1736" s="331">
        <v>55631588</v>
      </c>
      <c r="F1736" s="331">
        <v>27043</v>
      </c>
      <c r="G1736" s="332">
        <f t="shared" si="54"/>
        <v>9.0830510622868698E-6</v>
      </c>
      <c r="H1736" s="331">
        <v>72733</v>
      </c>
      <c r="I1736" s="331">
        <v>0</v>
      </c>
      <c r="J1736" s="331">
        <f t="shared" si="55"/>
        <v>72733</v>
      </c>
      <c r="K1736" s="199">
        <v>3.98</v>
      </c>
      <c r="L1736" s="199">
        <v>2.5</v>
      </c>
    </row>
    <row r="1737" spans="1:12" ht="15" customHeight="1" x14ac:dyDescent="0.25">
      <c r="A1737" s="49">
        <v>1987</v>
      </c>
      <c r="B1737" s="330" t="s">
        <v>50</v>
      </c>
      <c r="C1737" s="331">
        <v>3278109270</v>
      </c>
      <c r="D1737" s="331">
        <v>1493242470</v>
      </c>
      <c r="E1737" s="331">
        <v>58378017</v>
      </c>
      <c r="F1737" s="331">
        <v>23643</v>
      </c>
      <c r="G1737" s="332">
        <f t="shared" si="54"/>
        <v>7.2123892319184346E-6</v>
      </c>
      <c r="H1737" s="331">
        <v>116929</v>
      </c>
      <c r="I1737" s="331">
        <v>0</v>
      </c>
      <c r="J1737" s="331">
        <f t="shared" si="55"/>
        <v>116929</v>
      </c>
      <c r="K1737" s="199">
        <v>3.91</v>
      </c>
      <c r="L1737" s="199">
        <v>2.5</v>
      </c>
    </row>
    <row r="1738" spans="1:12" ht="15" customHeight="1" x14ac:dyDescent="0.25">
      <c r="A1738" s="49">
        <v>1988</v>
      </c>
      <c r="B1738" s="330" t="s">
        <v>50</v>
      </c>
      <c r="C1738" s="331">
        <v>3584885331</v>
      </c>
      <c r="D1738" s="331">
        <v>1572901039</v>
      </c>
      <c r="E1738" s="331">
        <v>50444384</v>
      </c>
      <c r="F1738" s="331">
        <v>22747</v>
      </c>
      <c r="G1738" s="332">
        <f t="shared" si="54"/>
        <v>6.3452517722944151E-6</v>
      </c>
      <c r="H1738" s="331">
        <v>160087</v>
      </c>
      <c r="I1738" s="331">
        <v>0</v>
      </c>
      <c r="J1738" s="331">
        <f t="shared" si="55"/>
        <v>160087</v>
      </c>
      <c r="K1738" s="199">
        <v>3.21</v>
      </c>
      <c r="L1738" s="199">
        <v>2.5</v>
      </c>
    </row>
    <row r="1739" spans="1:12" ht="15" customHeight="1" x14ac:dyDescent="0.25">
      <c r="A1739" s="49">
        <v>1989</v>
      </c>
      <c r="B1739" s="330" t="s">
        <v>50</v>
      </c>
      <c r="C1739" s="331">
        <v>3807092573</v>
      </c>
      <c r="D1739" s="331">
        <v>1609824670</v>
      </c>
      <c r="E1739" s="331">
        <v>45865297</v>
      </c>
      <c r="F1739" s="331">
        <v>27718</v>
      </c>
      <c r="G1739" s="332">
        <f t="shared" si="54"/>
        <v>7.2806214896314264E-6</v>
      </c>
      <c r="H1739" s="331">
        <v>196931</v>
      </c>
      <c r="I1739" s="331">
        <v>0</v>
      </c>
      <c r="J1739" s="331">
        <f t="shared" si="55"/>
        <v>196931</v>
      </c>
      <c r="K1739" s="199">
        <v>2.85</v>
      </c>
      <c r="L1739" s="199">
        <v>2.5</v>
      </c>
    </row>
    <row r="1740" spans="1:12" ht="15" customHeight="1" x14ac:dyDescent="0.25">
      <c r="A1740" s="49">
        <v>1990</v>
      </c>
      <c r="B1740" s="330" t="s">
        <v>50</v>
      </c>
      <c r="C1740" s="331">
        <v>3868421062</v>
      </c>
      <c r="D1740" s="331">
        <v>1563040165</v>
      </c>
      <c r="E1740" s="331">
        <v>44145388</v>
      </c>
      <c r="F1740" s="331">
        <v>49450</v>
      </c>
      <c r="G1740" s="332">
        <f t="shared" si="54"/>
        <v>1.2782993166321459E-5</v>
      </c>
      <c r="H1740" s="331">
        <v>209442</v>
      </c>
      <c r="I1740" s="331">
        <v>0</v>
      </c>
      <c r="J1740" s="331">
        <f t="shared" si="55"/>
        <v>209442</v>
      </c>
      <c r="K1740" s="199">
        <v>2.82</v>
      </c>
      <c r="L1740" s="199">
        <v>2.5</v>
      </c>
    </row>
    <row r="1741" spans="1:12" ht="15" customHeight="1" x14ac:dyDescent="0.25">
      <c r="A1741" s="49">
        <v>1991</v>
      </c>
      <c r="B1741" s="330" t="s">
        <v>50</v>
      </c>
      <c r="C1741" s="331">
        <v>3816237294</v>
      </c>
      <c r="D1741" s="331">
        <v>1486386234</v>
      </c>
      <c r="E1741" s="331">
        <v>36605404</v>
      </c>
      <c r="F1741" s="331">
        <v>69135</v>
      </c>
      <c r="G1741" s="332">
        <f t="shared" si="54"/>
        <v>1.8116011839383278E-5</v>
      </c>
      <c r="H1741" s="331">
        <v>192675</v>
      </c>
      <c r="I1741" s="331">
        <v>0</v>
      </c>
      <c r="J1741" s="331">
        <f t="shared" si="55"/>
        <v>192675</v>
      </c>
      <c r="K1741" s="199">
        <v>2.46</v>
      </c>
      <c r="L1741" s="199">
        <v>2.5</v>
      </c>
    </row>
    <row r="1742" spans="1:12" ht="15" customHeight="1" x14ac:dyDescent="0.25">
      <c r="A1742" s="49">
        <v>1992</v>
      </c>
      <c r="B1742" s="330" t="s">
        <v>50</v>
      </c>
      <c r="C1742" s="331">
        <v>4022857973</v>
      </c>
      <c r="D1742" s="331">
        <v>1518783235</v>
      </c>
      <c r="E1742" s="331">
        <v>37811815</v>
      </c>
      <c r="F1742" s="331">
        <v>61797</v>
      </c>
      <c r="G1742" s="332">
        <f t="shared" si="54"/>
        <v>1.5361467000515455E-5</v>
      </c>
      <c r="H1742" s="331">
        <v>180730</v>
      </c>
      <c r="I1742" s="331">
        <v>0</v>
      </c>
      <c r="J1742" s="331">
        <f t="shared" si="55"/>
        <v>180730</v>
      </c>
      <c r="K1742" s="199">
        <v>2.4900000000000002</v>
      </c>
      <c r="L1742" s="199">
        <v>2.5</v>
      </c>
    </row>
    <row r="1743" spans="1:12" ht="15" customHeight="1" x14ac:dyDescent="0.25">
      <c r="A1743" s="49">
        <v>1993</v>
      </c>
      <c r="B1743" s="330" t="s">
        <v>50</v>
      </c>
      <c r="C1743" s="331">
        <v>4185027841</v>
      </c>
      <c r="D1743" s="331">
        <v>1565436818</v>
      </c>
      <c r="E1743" s="331">
        <v>41977801</v>
      </c>
      <c r="F1743" s="331">
        <v>51812</v>
      </c>
      <c r="G1743" s="332">
        <f t="shared" si="54"/>
        <v>1.2380323851709354E-5</v>
      </c>
      <c r="H1743" s="331">
        <v>183025</v>
      </c>
      <c r="I1743" s="331">
        <v>0</v>
      </c>
      <c r="J1743" s="331">
        <f t="shared" si="55"/>
        <v>183025</v>
      </c>
      <c r="K1743" s="199">
        <v>2.68</v>
      </c>
      <c r="L1743" s="199">
        <v>2.5</v>
      </c>
    </row>
    <row r="1744" spans="1:12" ht="15" customHeight="1" x14ac:dyDescent="0.25">
      <c r="A1744" s="49">
        <v>1994</v>
      </c>
      <c r="B1744" s="330" t="s">
        <v>50</v>
      </c>
      <c r="C1744" s="331">
        <v>4349572868</v>
      </c>
      <c r="D1744" s="331">
        <v>1610620332</v>
      </c>
      <c r="E1744" s="331">
        <v>47639081</v>
      </c>
      <c r="F1744" s="331">
        <v>50421</v>
      </c>
      <c r="G1744" s="332">
        <f t="shared" si="54"/>
        <v>1.159217273285603E-5</v>
      </c>
      <c r="H1744" s="331">
        <v>195418</v>
      </c>
      <c r="I1744" s="331">
        <v>0</v>
      </c>
      <c r="J1744" s="331">
        <f t="shared" si="55"/>
        <v>195418</v>
      </c>
      <c r="K1744" s="199">
        <v>2.96</v>
      </c>
      <c r="L1744" s="199">
        <v>2.5</v>
      </c>
    </row>
    <row r="1745" spans="1:12" ht="15" customHeight="1" x14ac:dyDescent="0.25">
      <c r="A1745" s="49">
        <v>1995</v>
      </c>
      <c r="B1745" s="330" t="s">
        <v>50</v>
      </c>
      <c r="C1745" s="331">
        <v>4584754327</v>
      </c>
      <c r="D1745" s="331">
        <v>1670631262</v>
      </c>
      <c r="E1745" s="331">
        <v>43634342</v>
      </c>
      <c r="F1745" s="331">
        <v>46725</v>
      </c>
      <c r="G1745" s="332">
        <f t="shared" si="54"/>
        <v>1.0191385768444034E-5</v>
      </c>
      <c r="H1745" s="331">
        <v>206720</v>
      </c>
      <c r="I1745" s="331">
        <v>0</v>
      </c>
      <c r="J1745" s="331">
        <f t="shared" si="55"/>
        <v>206720</v>
      </c>
      <c r="K1745" s="199">
        <v>2.61</v>
      </c>
      <c r="L1745" s="199">
        <v>2.0699999999999998</v>
      </c>
    </row>
    <row r="1746" spans="1:12" ht="15" customHeight="1" x14ac:dyDescent="0.25">
      <c r="A1746" s="49">
        <v>1996</v>
      </c>
      <c r="B1746" s="330" t="s">
        <v>50</v>
      </c>
      <c r="C1746" s="331">
        <v>4866351455</v>
      </c>
      <c r="D1746" s="331">
        <v>1707719850</v>
      </c>
      <c r="E1746" s="331">
        <v>44411404</v>
      </c>
      <c r="F1746" s="331">
        <v>47962</v>
      </c>
      <c r="G1746" s="332">
        <f t="shared" si="54"/>
        <v>9.8558438377320197E-6</v>
      </c>
      <c r="H1746" s="331">
        <v>218259</v>
      </c>
      <c r="I1746" s="331">
        <v>0</v>
      </c>
      <c r="J1746" s="331">
        <f t="shared" si="55"/>
        <v>218259</v>
      </c>
      <c r="K1746" s="199">
        <v>2.6</v>
      </c>
      <c r="L1746" s="199">
        <v>1.95</v>
      </c>
    </row>
    <row r="1747" spans="1:12" ht="15" customHeight="1" x14ac:dyDescent="0.25">
      <c r="A1747" s="49">
        <v>1997</v>
      </c>
      <c r="B1747" s="330" t="s">
        <v>50</v>
      </c>
      <c r="C1747" s="331">
        <v>5150837824</v>
      </c>
      <c r="D1747" s="331">
        <v>1772973490</v>
      </c>
      <c r="E1747" s="331">
        <v>45720643</v>
      </c>
      <c r="F1747" s="331">
        <v>45636</v>
      </c>
      <c r="G1747" s="332">
        <f t="shared" si="54"/>
        <v>8.8599178540162862E-6</v>
      </c>
      <c r="H1747" s="331">
        <v>233537</v>
      </c>
      <c r="I1747" s="331">
        <v>0</v>
      </c>
      <c r="J1747" s="331">
        <f t="shared" si="55"/>
        <v>233537</v>
      </c>
      <c r="K1747" s="199">
        <v>2.58</v>
      </c>
      <c r="L1747" s="199">
        <v>1.89</v>
      </c>
    </row>
    <row r="1748" spans="1:12" ht="15" customHeight="1" x14ac:dyDescent="0.25">
      <c r="A1748" s="49">
        <v>1998</v>
      </c>
      <c r="B1748" s="330" t="s">
        <v>50</v>
      </c>
      <c r="C1748" s="331">
        <v>5527982794</v>
      </c>
      <c r="D1748" s="331">
        <v>1838402607</v>
      </c>
      <c r="E1748" s="331">
        <v>46986294</v>
      </c>
      <c r="F1748" s="331">
        <v>39512</v>
      </c>
      <c r="G1748" s="332">
        <f t="shared" si="54"/>
        <v>7.1476344034366035E-6</v>
      </c>
      <c r="H1748" s="331">
        <v>254839</v>
      </c>
      <c r="I1748" s="331">
        <v>0</v>
      </c>
      <c r="J1748" s="331">
        <f t="shared" si="55"/>
        <v>254839</v>
      </c>
      <c r="K1748" s="199">
        <v>2.56</v>
      </c>
      <c r="L1748" s="199">
        <v>1.89</v>
      </c>
    </row>
    <row r="1749" spans="1:12" ht="15" customHeight="1" x14ac:dyDescent="0.25">
      <c r="A1749" s="49">
        <v>1999</v>
      </c>
      <c r="B1749" s="330" t="s">
        <v>50</v>
      </c>
      <c r="C1749" s="331">
        <v>5880598793</v>
      </c>
      <c r="D1749" s="331">
        <v>1897489638</v>
      </c>
      <c r="E1749" s="331">
        <v>48277741</v>
      </c>
      <c r="F1749" s="331">
        <v>42648</v>
      </c>
      <c r="G1749" s="332">
        <f t="shared" si="54"/>
        <v>7.252322680262809E-6</v>
      </c>
      <c r="H1749" s="331">
        <v>278148</v>
      </c>
      <c r="I1749" s="331">
        <v>0</v>
      </c>
      <c r="J1749" s="331">
        <f t="shared" si="55"/>
        <v>278148</v>
      </c>
      <c r="K1749" s="199">
        <v>2.54</v>
      </c>
      <c r="L1749" s="199">
        <v>1.89</v>
      </c>
    </row>
    <row r="1750" spans="1:12" ht="15" customHeight="1" x14ac:dyDescent="0.25">
      <c r="A1750" s="49">
        <v>2000</v>
      </c>
      <c r="B1750" s="330" t="s">
        <v>50</v>
      </c>
      <c r="C1750" s="331">
        <v>6356621220</v>
      </c>
      <c r="D1750" s="331">
        <v>1986915320</v>
      </c>
      <c r="E1750" s="331">
        <v>47927736</v>
      </c>
      <c r="F1750" s="331">
        <v>41723</v>
      </c>
      <c r="G1750" s="332">
        <f t="shared" si="54"/>
        <v>6.5637071261578177E-6</v>
      </c>
      <c r="H1750" s="331">
        <v>305443</v>
      </c>
      <c r="I1750" s="331">
        <v>0</v>
      </c>
      <c r="J1750" s="331">
        <f t="shared" si="55"/>
        <v>305443</v>
      </c>
      <c r="K1750" s="199">
        <v>2.41</v>
      </c>
      <c r="L1750" s="199">
        <v>1.89</v>
      </c>
    </row>
    <row r="1751" spans="1:12" x14ac:dyDescent="0.25">
      <c r="A1751" s="49">
        <v>2001</v>
      </c>
      <c r="B1751" s="330" t="s">
        <v>50</v>
      </c>
      <c r="C1751" s="331">
        <v>6644702357</v>
      </c>
      <c r="D1751" s="331">
        <v>1995985287</v>
      </c>
      <c r="E1751" s="331">
        <v>40439992</v>
      </c>
      <c r="F1751" s="331">
        <v>60736</v>
      </c>
      <c r="G1751" s="332">
        <f t="shared" si="54"/>
        <v>9.1405147645200983E-6</v>
      </c>
      <c r="H1751" s="331">
        <v>308363</v>
      </c>
      <c r="I1751" s="331">
        <v>0</v>
      </c>
      <c r="J1751" s="331">
        <f t="shared" si="55"/>
        <v>308363</v>
      </c>
      <c r="K1751" s="199">
        <v>2.0299999999999998</v>
      </c>
      <c r="L1751" s="199">
        <v>1.89</v>
      </c>
    </row>
    <row r="1752" spans="1:12" ht="15" customHeight="1" x14ac:dyDescent="0.25">
      <c r="A1752" s="49">
        <v>2002</v>
      </c>
      <c r="B1752" s="330" t="s">
        <v>50</v>
      </c>
      <c r="C1752" s="331">
        <v>6621371693</v>
      </c>
      <c r="D1752" s="331">
        <v>1948288435</v>
      </c>
      <c r="E1752" s="331">
        <v>38269267</v>
      </c>
      <c r="F1752" s="331">
        <v>92684</v>
      </c>
      <c r="G1752" s="332">
        <f t="shared" si="54"/>
        <v>1.3997703844051516E-5</v>
      </c>
      <c r="H1752" s="331">
        <v>289705</v>
      </c>
      <c r="I1752" s="331">
        <v>0</v>
      </c>
      <c r="J1752" s="331">
        <f t="shared" si="55"/>
        <v>289705</v>
      </c>
      <c r="K1752" s="199">
        <v>1.96</v>
      </c>
      <c r="L1752" s="199">
        <v>1.89</v>
      </c>
    </row>
    <row r="1753" spans="1:12" ht="15" customHeight="1" x14ac:dyDescent="0.25">
      <c r="A1753" s="49">
        <v>2003</v>
      </c>
      <c r="B1753" s="330" t="s">
        <v>50</v>
      </c>
      <c r="C1753" s="331">
        <v>6753905840</v>
      </c>
      <c r="D1753" s="331">
        <v>1915070234</v>
      </c>
      <c r="E1753" s="331">
        <v>38363634</v>
      </c>
      <c r="F1753" s="331">
        <v>94604</v>
      </c>
      <c r="G1753" s="332">
        <f t="shared" si="54"/>
        <v>1.4007302180570524E-5</v>
      </c>
      <c r="H1753" s="331">
        <v>248152</v>
      </c>
      <c r="I1753" s="331">
        <v>0</v>
      </c>
      <c r="J1753" s="331">
        <f t="shared" si="55"/>
        <v>248152</v>
      </c>
      <c r="K1753" s="199">
        <v>2</v>
      </c>
      <c r="L1753" s="199">
        <v>1.89</v>
      </c>
    </row>
    <row r="1754" spans="1:12" ht="15" customHeight="1" x14ac:dyDescent="0.25">
      <c r="A1754" s="49">
        <v>2004</v>
      </c>
      <c r="B1754" s="330" t="s">
        <v>50</v>
      </c>
      <c r="C1754" s="331">
        <v>7082198858</v>
      </c>
      <c r="D1754" s="331">
        <v>1976632188</v>
      </c>
      <c r="E1754" s="331">
        <v>40809861</v>
      </c>
      <c r="F1754" s="331">
        <v>73363</v>
      </c>
      <c r="G1754" s="332">
        <f t="shared" si="54"/>
        <v>1.0358788488003227E-5</v>
      </c>
      <c r="H1754" s="331">
        <v>226959</v>
      </c>
      <c r="I1754" s="331">
        <v>0</v>
      </c>
      <c r="J1754" s="331">
        <f t="shared" si="55"/>
        <v>226959</v>
      </c>
      <c r="K1754" s="199">
        <v>2.06</v>
      </c>
      <c r="L1754" s="199">
        <v>1.89</v>
      </c>
    </row>
    <row r="1755" spans="1:12" ht="15" customHeight="1" x14ac:dyDescent="0.25">
      <c r="A1755" s="49">
        <v>2005</v>
      </c>
      <c r="B1755" s="330" t="s">
        <v>50</v>
      </c>
      <c r="C1755" s="331">
        <v>7302797218</v>
      </c>
      <c r="D1755" s="331">
        <v>1993326376</v>
      </c>
      <c r="E1755" s="331">
        <v>48113043</v>
      </c>
      <c r="F1755" s="331">
        <v>73699</v>
      </c>
      <c r="G1755" s="332">
        <f t="shared" si="54"/>
        <v>1.0091886410093115E-5</v>
      </c>
      <c r="H1755" s="331">
        <v>213378</v>
      </c>
      <c r="I1755" s="331">
        <v>0</v>
      </c>
      <c r="J1755" s="331">
        <f t="shared" si="55"/>
        <v>213378</v>
      </c>
      <c r="K1755" s="199">
        <v>2.41</v>
      </c>
      <c r="L1755" s="199">
        <v>1.89</v>
      </c>
    </row>
    <row r="1756" spans="1:12" ht="15" customHeight="1" x14ac:dyDescent="0.25">
      <c r="A1756" s="49">
        <v>2006</v>
      </c>
      <c r="B1756" s="330" t="s">
        <v>50</v>
      </c>
      <c r="C1756" s="331">
        <v>7608084858</v>
      </c>
      <c r="D1756" s="331">
        <v>2004651760</v>
      </c>
      <c r="E1756" s="331">
        <v>50549295</v>
      </c>
      <c r="F1756" s="331">
        <v>77532</v>
      </c>
      <c r="G1756" s="332">
        <f t="shared" si="54"/>
        <v>1.0190738069709369E-5</v>
      </c>
      <c r="H1756" s="331">
        <v>195303</v>
      </c>
      <c r="I1756" s="331">
        <v>0</v>
      </c>
      <c r="J1756" s="331">
        <f t="shared" si="55"/>
        <v>195303</v>
      </c>
      <c r="K1756" s="199">
        <v>2.52</v>
      </c>
      <c r="L1756" s="199">
        <v>1.89</v>
      </c>
    </row>
    <row r="1757" spans="1:12" ht="15" customHeight="1" x14ac:dyDescent="0.25">
      <c r="A1757" s="49">
        <v>2007</v>
      </c>
      <c r="B1757" s="330" t="s">
        <v>50</v>
      </c>
      <c r="C1757" s="331">
        <v>7854229060</v>
      </c>
      <c r="D1757" s="331">
        <v>2018189787</v>
      </c>
      <c r="E1757" s="331">
        <v>57983160</v>
      </c>
      <c r="F1757" s="331">
        <v>85366</v>
      </c>
      <c r="G1757" s="332">
        <f t="shared" si="54"/>
        <v>1.0868794295133532E-5</v>
      </c>
      <c r="H1757" s="331">
        <v>177613</v>
      </c>
      <c r="I1757" s="331">
        <v>0</v>
      </c>
      <c r="J1757" s="331">
        <f t="shared" si="55"/>
        <v>177613</v>
      </c>
      <c r="K1757" s="199">
        <v>2.87</v>
      </c>
      <c r="L1757" s="199">
        <v>1.89</v>
      </c>
    </row>
    <row r="1758" spans="1:12" ht="15" customHeight="1" x14ac:dyDescent="0.25">
      <c r="A1758" s="49">
        <v>2008</v>
      </c>
      <c r="B1758" s="330" t="s">
        <v>50</v>
      </c>
      <c r="C1758" s="331">
        <v>8012037985</v>
      </c>
      <c r="D1758" s="331">
        <v>1989066849</v>
      </c>
      <c r="E1758" s="331">
        <v>58096450</v>
      </c>
      <c r="F1758" s="331">
        <v>105115</v>
      </c>
      <c r="G1758" s="332">
        <f t="shared" si="54"/>
        <v>1.3119633256456659E-5</v>
      </c>
      <c r="H1758" s="331">
        <v>137837</v>
      </c>
      <c r="I1758" s="331">
        <v>0</v>
      </c>
      <c r="J1758" s="331">
        <f t="shared" si="55"/>
        <v>137837</v>
      </c>
      <c r="K1758" s="199">
        <v>2.9</v>
      </c>
      <c r="L1758" s="199">
        <v>1.89</v>
      </c>
    </row>
    <row r="1759" spans="1:12" ht="15" customHeight="1" x14ac:dyDescent="0.25">
      <c r="A1759" s="49">
        <v>2009</v>
      </c>
      <c r="B1759" s="330" t="s">
        <v>50</v>
      </c>
      <c r="C1759" s="331">
        <v>7632935435</v>
      </c>
      <c r="D1759" s="331">
        <v>1864688111</v>
      </c>
      <c r="E1759" s="331">
        <v>60979260</v>
      </c>
      <c r="F1759" s="331">
        <v>183025</v>
      </c>
      <c r="G1759" s="332">
        <f t="shared" si="54"/>
        <v>2.3978324139984029E-5</v>
      </c>
      <c r="H1759" s="331">
        <v>23038</v>
      </c>
      <c r="I1759" s="331">
        <v>0</v>
      </c>
      <c r="J1759" s="331">
        <f t="shared" si="55"/>
        <v>23038</v>
      </c>
      <c r="K1759" s="199">
        <v>3.3</v>
      </c>
      <c r="L1759" s="199">
        <v>1.93</v>
      </c>
    </row>
    <row r="1760" spans="1:12" ht="15" customHeight="1" x14ac:dyDescent="0.25">
      <c r="A1760" s="49">
        <v>2010</v>
      </c>
      <c r="B1760" s="330" t="s">
        <v>50</v>
      </c>
      <c r="C1760" s="331">
        <v>7768839192</v>
      </c>
      <c r="D1760" s="331">
        <v>2226666938</v>
      </c>
      <c r="E1760" s="331">
        <v>76988456</v>
      </c>
      <c r="F1760" s="331">
        <v>133583</v>
      </c>
      <c r="G1760" s="332">
        <f t="shared" si="54"/>
        <v>1.7194718116647048E-5</v>
      </c>
      <c r="H1760" s="331">
        <v>1363</v>
      </c>
      <c r="I1760" s="331">
        <v>38475</v>
      </c>
      <c r="J1760" s="331">
        <f t="shared" si="55"/>
        <v>-37112</v>
      </c>
      <c r="K1760" s="199">
        <v>3.5</v>
      </c>
      <c r="L1760" s="199">
        <v>1.99</v>
      </c>
    </row>
    <row r="1761" spans="1:12" ht="15" customHeight="1" x14ac:dyDescent="0.25">
      <c r="A1761" s="49">
        <v>2011</v>
      </c>
      <c r="B1761" s="330" t="s">
        <v>50</v>
      </c>
      <c r="C1761" s="331">
        <v>8057521587</v>
      </c>
      <c r="D1761" s="331">
        <v>2784138047</v>
      </c>
      <c r="E1761" s="331">
        <v>110890001</v>
      </c>
      <c r="F1761" s="331">
        <v>105641</v>
      </c>
      <c r="G1761" s="332">
        <f t="shared" si="54"/>
        <v>1.3110855349173512E-5</v>
      </c>
      <c r="H1761" s="331">
        <v>54533</v>
      </c>
      <c r="I1761" s="331">
        <v>77732</v>
      </c>
      <c r="J1761" s="331">
        <f t="shared" si="55"/>
        <v>-23199</v>
      </c>
      <c r="K1761" s="199">
        <v>4</v>
      </c>
      <c r="L1761" s="199">
        <v>1.99</v>
      </c>
    </row>
    <row r="1762" spans="1:12" ht="15" customHeight="1" x14ac:dyDescent="0.25">
      <c r="A1762" s="49">
        <v>2012</v>
      </c>
      <c r="B1762" s="330" t="s">
        <v>50</v>
      </c>
      <c r="C1762" s="331">
        <v>8345980281</v>
      </c>
      <c r="D1762" s="331">
        <v>3281096277</v>
      </c>
      <c r="E1762" s="331">
        <v>132591636</v>
      </c>
      <c r="F1762" s="331">
        <v>87591</v>
      </c>
      <c r="G1762" s="332">
        <f t="shared" si="54"/>
        <v>1.0494992445573452E-5</v>
      </c>
      <c r="H1762" s="331">
        <v>80100</v>
      </c>
      <c r="I1762" s="331">
        <v>57732</v>
      </c>
      <c r="J1762" s="331">
        <f t="shared" si="55"/>
        <v>22368</v>
      </c>
      <c r="K1762" s="199">
        <v>4.04</v>
      </c>
      <c r="L1762" s="199">
        <v>1.99</v>
      </c>
    </row>
    <row r="1763" spans="1:12" ht="15" customHeight="1" x14ac:dyDescent="0.25">
      <c r="A1763" s="49">
        <v>2013</v>
      </c>
      <c r="B1763" s="330" t="s">
        <v>50</v>
      </c>
      <c r="C1763" s="331">
        <v>8546766181</v>
      </c>
      <c r="D1763" s="331">
        <v>3352630173</v>
      </c>
      <c r="E1763" s="331">
        <v>135959735</v>
      </c>
      <c r="F1763" s="331">
        <v>77305</v>
      </c>
      <c r="G1763" s="332">
        <f t="shared" si="54"/>
        <v>9.0449414858047584E-6</v>
      </c>
      <c r="H1763" s="331">
        <v>85353</v>
      </c>
      <c r="I1763" s="331">
        <v>0</v>
      </c>
      <c r="J1763" s="331">
        <f t="shared" si="55"/>
        <v>85353</v>
      </c>
      <c r="K1763" s="199">
        <v>4.0599999999999996</v>
      </c>
      <c r="L1763" s="199">
        <v>1.99</v>
      </c>
    </row>
    <row r="1764" spans="1:12" ht="15" customHeight="1" x14ac:dyDescent="0.25">
      <c r="A1764" s="49">
        <v>2014</v>
      </c>
      <c r="B1764" s="330" t="s">
        <v>50</v>
      </c>
      <c r="C1764" s="331">
        <v>8823807844</v>
      </c>
      <c r="D1764" s="331">
        <v>3417298861</v>
      </c>
      <c r="E1764" s="331">
        <v>135751409</v>
      </c>
      <c r="F1764" s="331">
        <v>71399</v>
      </c>
      <c r="G1764" s="332">
        <f t="shared" si="54"/>
        <v>8.0916313299535179E-6</v>
      </c>
      <c r="H1764" s="331">
        <v>152934</v>
      </c>
      <c r="I1764" s="331">
        <v>0</v>
      </c>
      <c r="J1764" s="331">
        <f t="shared" si="55"/>
        <v>152934</v>
      </c>
      <c r="K1764" s="333">
        <v>3.972476933441965</v>
      </c>
      <c r="L1764" s="199">
        <v>1.99</v>
      </c>
    </row>
    <row r="1765" spans="1:12" ht="15" customHeight="1" x14ac:dyDescent="0.25">
      <c r="A1765" s="49">
        <v>2015</v>
      </c>
      <c r="B1765" s="330" t="s">
        <v>50</v>
      </c>
      <c r="C1765" s="334">
        <v>9148678000</v>
      </c>
      <c r="D1765" s="334">
        <v>3615945000</v>
      </c>
      <c r="E1765" s="334">
        <v>137900000</v>
      </c>
      <c r="F1765" s="331">
        <v>63747</v>
      </c>
      <c r="G1765" s="332">
        <f t="shared" si="54"/>
        <v>6.9678919730260482E-6</v>
      </c>
      <c r="H1765" s="331">
        <v>230963</v>
      </c>
      <c r="I1765" s="199">
        <v>0</v>
      </c>
      <c r="J1765" s="331">
        <f t="shared" si="55"/>
        <v>230963</v>
      </c>
      <c r="K1765" s="199">
        <v>3.8</v>
      </c>
      <c r="L1765" s="199">
        <v>1.99</v>
      </c>
    </row>
    <row r="1766" spans="1:12" ht="15" customHeight="1" x14ac:dyDescent="0.25">
      <c r="A1766" s="49">
        <v>1980</v>
      </c>
      <c r="B1766" s="330" t="s">
        <v>51</v>
      </c>
      <c r="C1766" s="331">
        <v>19528150460</v>
      </c>
      <c r="D1766" s="331">
        <v>10913410752</v>
      </c>
      <c r="E1766" s="331">
        <v>326651149</v>
      </c>
      <c r="F1766" s="331">
        <v>299588</v>
      </c>
      <c r="G1766" s="332">
        <f t="shared" si="54"/>
        <v>1.5341340216199872E-5</v>
      </c>
      <c r="H1766" s="331">
        <v>367970</v>
      </c>
      <c r="I1766" s="331">
        <v>0</v>
      </c>
      <c r="J1766" s="331">
        <f t="shared" si="55"/>
        <v>367970</v>
      </c>
      <c r="K1766" s="199">
        <v>2.99</v>
      </c>
      <c r="L1766" s="199">
        <v>3.03</v>
      </c>
    </row>
    <row r="1767" spans="1:12" ht="15" customHeight="1" x14ac:dyDescent="0.25">
      <c r="A1767" s="49">
        <v>1981</v>
      </c>
      <c r="B1767" s="330" t="s">
        <v>51</v>
      </c>
      <c r="C1767" s="331">
        <v>21225127528</v>
      </c>
      <c r="D1767" s="331">
        <v>11659380173</v>
      </c>
      <c r="E1767" s="331">
        <v>348850690</v>
      </c>
      <c r="F1767" s="331">
        <v>351721</v>
      </c>
      <c r="G1767" s="332">
        <f t="shared" si="54"/>
        <v>1.6570972284430931E-5</v>
      </c>
      <c r="H1767" s="331">
        <v>382035</v>
      </c>
      <c r="I1767" s="331">
        <v>0</v>
      </c>
      <c r="J1767" s="331">
        <f t="shared" si="55"/>
        <v>382035</v>
      </c>
      <c r="K1767" s="199">
        <v>2.99</v>
      </c>
      <c r="L1767" s="199">
        <v>3.03</v>
      </c>
    </row>
    <row r="1768" spans="1:12" ht="15" customHeight="1" x14ac:dyDescent="0.25">
      <c r="A1768" s="49">
        <v>1982</v>
      </c>
      <c r="B1768" s="330" t="s">
        <v>51</v>
      </c>
      <c r="C1768" s="331">
        <v>20989319904</v>
      </c>
      <c r="D1768" s="331">
        <v>11591028319</v>
      </c>
      <c r="E1768" s="331">
        <v>346645670</v>
      </c>
      <c r="F1768" s="331">
        <v>525967</v>
      </c>
      <c r="G1768" s="332">
        <f t="shared" si="54"/>
        <v>2.5058791919206721E-5</v>
      </c>
      <c r="H1768" s="331">
        <v>150264</v>
      </c>
      <c r="I1768" s="331">
        <v>0</v>
      </c>
      <c r="J1768" s="331">
        <f t="shared" si="55"/>
        <v>150264</v>
      </c>
      <c r="K1768" s="199">
        <v>2.99</v>
      </c>
      <c r="L1768" s="199">
        <v>3.22</v>
      </c>
    </row>
    <row r="1769" spans="1:12" ht="15" customHeight="1" x14ac:dyDescent="0.25">
      <c r="A1769" s="49">
        <v>1983</v>
      </c>
      <c r="B1769" s="330" t="s">
        <v>51</v>
      </c>
      <c r="C1769" s="331">
        <v>21301564716</v>
      </c>
      <c r="D1769" s="331">
        <v>12098130373</v>
      </c>
      <c r="E1769" s="331">
        <v>361904323</v>
      </c>
      <c r="F1769" s="331">
        <v>459339</v>
      </c>
      <c r="G1769" s="332">
        <f t="shared" si="54"/>
        <v>2.1563627185329815E-5</v>
      </c>
      <c r="H1769" s="331">
        <v>22252</v>
      </c>
      <c r="I1769" s="331">
        <v>0</v>
      </c>
      <c r="J1769" s="331">
        <f t="shared" si="55"/>
        <v>22252</v>
      </c>
      <c r="K1769" s="199">
        <v>2.99</v>
      </c>
      <c r="L1769" s="199">
        <v>3.22</v>
      </c>
    </row>
    <row r="1770" spans="1:12" ht="15" customHeight="1" x14ac:dyDescent="0.25">
      <c r="A1770" s="49">
        <v>1984</v>
      </c>
      <c r="B1770" s="330" t="s">
        <v>51</v>
      </c>
      <c r="C1770" s="331">
        <v>22485638434</v>
      </c>
      <c r="D1770" s="331">
        <v>12938441536</v>
      </c>
      <c r="E1770" s="331">
        <v>426027930</v>
      </c>
      <c r="F1770" s="331">
        <v>377635</v>
      </c>
      <c r="G1770" s="332">
        <f t="shared" si="54"/>
        <v>1.6794497568233911E-5</v>
      </c>
      <c r="H1770" s="331">
        <v>77250</v>
      </c>
      <c r="I1770" s="331">
        <v>0</v>
      </c>
      <c r="J1770" s="331">
        <f t="shared" si="55"/>
        <v>77250</v>
      </c>
      <c r="K1770" s="199">
        <v>3.29</v>
      </c>
      <c r="L1770" s="199">
        <v>3.22</v>
      </c>
    </row>
    <row r="1771" spans="1:12" ht="15" customHeight="1" x14ac:dyDescent="0.25">
      <c r="A1771" s="49">
        <v>1985</v>
      </c>
      <c r="B1771" s="330" t="s">
        <v>51</v>
      </c>
      <c r="C1771" s="331">
        <v>23661854729</v>
      </c>
      <c r="D1771" s="331">
        <v>11879064237</v>
      </c>
      <c r="E1771" s="331">
        <v>480346692</v>
      </c>
      <c r="F1771" s="331">
        <v>387916</v>
      </c>
      <c r="G1771" s="332">
        <f t="shared" si="54"/>
        <v>1.6394150181497381E-5</v>
      </c>
      <c r="H1771" s="331">
        <v>163663</v>
      </c>
      <c r="I1771" s="331">
        <v>0</v>
      </c>
      <c r="J1771" s="331">
        <f t="shared" si="55"/>
        <v>163663</v>
      </c>
      <c r="K1771" s="199">
        <v>4.04</v>
      </c>
      <c r="L1771" s="199">
        <v>3.22</v>
      </c>
    </row>
    <row r="1772" spans="1:12" ht="15" customHeight="1" x14ac:dyDescent="0.25">
      <c r="A1772" s="49">
        <v>1986</v>
      </c>
      <c r="B1772" s="330" t="s">
        <v>51</v>
      </c>
      <c r="C1772" s="331">
        <v>25583585590</v>
      </c>
      <c r="D1772" s="331">
        <v>13604424175</v>
      </c>
      <c r="E1772" s="331">
        <v>548786222</v>
      </c>
      <c r="F1772" s="331">
        <v>362233</v>
      </c>
      <c r="G1772" s="332">
        <f t="shared" si="54"/>
        <v>1.4158805016822507E-5</v>
      </c>
      <c r="H1772" s="331">
        <v>353579</v>
      </c>
      <c r="I1772" s="331">
        <v>0</v>
      </c>
      <c r="J1772" s="331">
        <f t="shared" si="55"/>
        <v>353579</v>
      </c>
      <c r="K1772" s="199">
        <v>4.03</v>
      </c>
      <c r="L1772" s="199">
        <v>3.22</v>
      </c>
    </row>
    <row r="1773" spans="1:12" ht="15" customHeight="1" x14ac:dyDescent="0.25">
      <c r="A1773" s="49">
        <v>1987</v>
      </c>
      <c r="B1773" s="330" t="s">
        <v>51</v>
      </c>
      <c r="C1773" s="331">
        <v>27555198717</v>
      </c>
      <c r="D1773" s="331">
        <v>15681893401</v>
      </c>
      <c r="E1773" s="331">
        <v>632503898</v>
      </c>
      <c r="F1773" s="331">
        <v>342220</v>
      </c>
      <c r="G1773" s="332">
        <f t="shared" si="54"/>
        <v>1.2419435022577776E-5</v>
      </c>
      <c r="H1773" s="331">
        <v>654502</v>
      </c>
      <c r="I1773" s="331">
        <v>0</v>
      </c>
      <c r="J1773" s="331">
        <f t="shared" si="55"/>
        <v>654502</v>
      </c>
      <c r="K1773" s="199">
        <v>4.03</v>
      </c>
      <c r="L1773" s="199">
        <v>3.22</v>
      </c>
    </row>
    <row r="1774" spans="1:12" ht="15" customHeight="1" x14ac:dyDescent="0.25">
      <c r="A1774" s="49">
        <v>1988</v>
      </c>
      <c r="B1774" s="330" t="s">
        <v>51</v>
      </c>
      <c r="C1774" s="331">
        <v>30098852810</v>
      </c>
      <c r="D1774" s="331">
        <v>18148227194</v>
      </c>
      <c r="E1774" s="331">
        <v>674286669</v>
      </c>
      <c r="F1774" s="331">
        <v>344293</v>
      </c>
      <c r="G1774" s="332">
        <f t="shared" si="54"/>
        <v>1.1438741608305171E-5</v>
      </c>
      <c r="H1774" s="331">
        <v>1042354</v>
      </c>
      <c r="I1774" s="331">
        <v>0</v>
      </c>
      <c r="J1774" s="331">
        <f t="shared" si="55"/>
        <v>1042354</v>
      </c>
      <c r="K1774" s="199">
        <v>3.72</v>
      </c>
      <c r="L1774" s="199">
        <v>3.22</v>
      </c>
    </row>
    <row r="1775" spans="1:12" ht="15" customHeight="1" x14ac:dyDescent="0.25">
      <c r="A1775" s="49">
        <v>1989</v>
      </c>
      <c r="B1775" s="330" t="s">
        <v>51</v>
      </c>
      <c r="C1775" s="331">
        <v>33271576453</v>
      </c>
      <c r="D1775" s="331">
        <v>20118654714</v>
      </c>
      <c r="E1775" s="331">
        <v>545091084</v>
      </c>
      <c r="F1775" s="331">
        <v>343381</v>
      </c>
      <c r="G1775" s="332">
        <f t="shared" si="54"/>
        <v>1.0320550950901466E-5</v>
      </c>
      <c r="H1775" s="331">
        <v>1364312</v>
      </c>
      <c r="I1775" s="331">
        <v>0</v>
      </c>
      <c r="J1775" s="331">
        <f t="shared" si="55"/>
        <v>1364312</v>
      </c>
      <c r="K1775" s="199">
        <v>2.71</v>
      </c>
      <c r="L1775" s="199">
        <v>3.22</v>
      </c>
    </row>
    <row r="1776" spans="1:12" ht="15" customHeight="1" x14ac:dyDescent="0.25">
      <c r="A1776" s="49">
        <v>1990</v>
      </c>
      <c r="B1776" s="330" t="s">
        <v>51</v>
      </c>
      <c r="C1776" s="331">
        <v>36947704757</v>
      </c>
      <c r="D1776" s="331">
        <v>22201849010</v>
      </c>
      <c r="E1776" s="331">
        <v>513611033</v>
      </c>
      <c r="F1776" s="331">
        <v>394830</v>
      </c>
      <c r="G1776" s="332">
        <f t="shared" si="54"/>
        <v>1.0686184773769924E-5</v>
      </c>
      <c r="H1776" s="331">
        <v>1624124</v>
      </c>
      <c r="I1776" s="331">
        <v>0</v>
      </c>
      <c r="J1776" s="331">
        <f t="shared" si="55"/>
        <v>1624124</v>
      </c>
      <c r="K1776" s="199">
        <v>2.31</v>
      </c>
      <c r="L1776" s="199">
        <v>3.02</v>
      </c>
    </row>
    <row r="1777" spans="1:12" ht="15" customHeight="1" x14ac:dyDescent="0.25">
      <c r="A1777" s="49">
        <v>1991</v>
      </c>
      <c r="B1777" s="330" t="s">
        <v>51</v>
      </c>
      <c r="C1777" s="331">
        <v>38849518916</v>
      </c>
      <c r="D1777" s="331">
        <v>22686059469</v>
      </c>
      <c r="E1777" s="331">
        <v>528857787</v>
      </c>
      <c r="F1777" s="331">
        <v>569077</v>
      </c>
      <c r="G1777" s="332">
        <f t="shared" si="54"/>
        <v>1.464823801886587E-5</v>
      </c>
      <c r="H1777" s="331">
        <v>1707604</v>
      </c>
      <c r="I1777" s="331">
        <v>0</v>
      </c>
      <c r="J1777" s="331">
        <f t="shared" si="55"/>
        <v>1707604</v>
      </c>
      <c r="K1777" s="199">
        <v>2.33</v>
      </c>
      <c r="L1777" s="199">
        <v>2.5099999999999998</v>
      </c>
    </row>
    <row r="1778" spans="1:12" ht="15" customHeight="1" x14ac:dyDescent="0.25">
      <c r="A1778" s="49">
        <v>1992</v>
      </c>
      <c r="B1778" s="330" t="s">
        <v>51</v>
      </c>
      <c r="C1778" s="331">
        <v>42216210436</v>
      </c>
      <c r="D1778" s="331">
        <v>24656214976</v>
      </c>
      <c r="E1778" s="331">
        <v>556983555</v>
      </c>
      <c r="F1778" s="331">
        <v>618693</v>
      </c>
      <c r="G1778" s="332">
        <f t="shared" si="54"/>
        <v>1.4655341955383273E-5</v>
      </c>
      <c r="H1778" s="331">
        <v>1766006</v>
      </c>
      <c r="I1778" s="331">
        <v>0</v>
      </c>
      <c r="J1778" s="331">
        <f t="shared" si="55"/>
        <v>1766006</v>
      </c>
      <c r="K1778" s="199">
        <v>2.2599999999999998</v>
      </c>
      <c r="L1778" s="199">
        <v>2.5099999999999998</v>
      </c>
    </row>
    <row r="1779" spans="1:12" ht="15" customHeight="1" x14ac:dyDescent="0.25">
      <c r="A1779" s="49">
        <v>1993</v>
      </c>
      <c r="B1779" s="330" t="s">
        <v>51</v>
      </c>
      <c r="C1779" s="331">
        <v>43029289378</v>
      </c>
      <c r="D1779" s="331">
        <v>25915761421</v>
      </c>
      <c r="E1779" s="331">
        <v>586742252</v>
      </c>
      <c r="F1779" s="331">
        <v>704141</v>
      </c>
      <c r="G1779" s="332">
        <f t="shared" si="54"/>
        <v>1.6364225628137214E-5</v>
      </c>
      <c r="H1779" s="331">
        <v>1743146</v>
      </c>
      <c r="I1779" s="331">
        <v>0</v>
      </c>
      <c r="J1779" s="331">
        <f t="shared" si="55"/>
        <v>1743146</v>
      </c>
      <c r="K1779" s="199">
        <v>2.2599999999999998</v>
      </c>
      <c r="L1779" s="199">
        <v>2.5099999999999998</v>
      </c>
    </row>
    <row r="1780" spans="1:12" ht="15" customHeight="1" x14ac:dyDescent="0.25">
      <c r="A1780" s="49">
        <v>1994</v>
      </c>
      <c r="B1780" s="330" t="s">
        <v>51</v>
      </c>
      <c r="C1780" s="331">
        <v>45392976451</v>
      </c>
      <c r="D1780" s="331">
        <v>28102761702</v>
      </c>
      <c r="E1780" s="331">
        <v>551877246</v>
      </c>
      <c r="F1780" s="331">
        <v>821864</v>
      </c>
      <c r="G1780" s="332">
        <f t="shared" si="54"/>
        <v>1.8105532270772573E-5</v>
      </c>
      <c r="H1780" s="331">
        <v>1565417</v>
      </c>
      <c r="I1780" s="331">
        <v>0</v>
      </c>
      <c r="J1780" s="331">
        <f t="shared" si="55"/>
        <v>1565417</v>
      </c>
      <c r="K1780" s="199">
        <v>1.96</v>
      </c>
      <c r="L1780" s="199">
        <v>2.5099999999999998</v>
      </c>
    </row>
    <row r="1781" spans="1:12" ht="15" customHeight="1" x14ac:dyDescent="0.25">
      <c r="A1781" s="49">
        <v>1995</v>
      </c>
      <c r="B1781" s="330" t="s">
        <v>51</v>
      </c>
      <c r="C1781" s="331">
        <v>48305830823</v>
      </c>
      <c r="D1781" s="331">
        <v>29155507731</v>
      </c>
      <c r="E1781" s="331">
        <v>558836600</v>
      </c>
      <c r="F1781" s="331">
        <v>793643</v>
      </c>
      <c r="G1781" s="332">
        <f t="shared" si="54"/>
        <v>1.6429548699990901E-5</v>
      </c>
      <c r="H1781" s="331">
        <v>1417701</v>
      </c>
      <c r="I1781" s="331">
        <v>0</v>
      </c>
      <c r="J1781" s="331">
        <f t="shared" si="55"/>
        <v>1417701</v>
      </c>
      <c r="K1781" s="199">
        <v>1.92</v>
      </c>
      <c r="L1781" s="199">
        <v>2.37</v>
      </c>
    </row>
    <row r="1782" spans="1:12" ht="15" customHeight="1" x14ac:dyDescent="0.25">
      <c r="A1782" s="49">
        <v>1996</v>
      </c>
      <c r="B1782" s="330" t="s">
        <v>51</v>
      </c>
      <c r="C1782" s="331">
        <v>52735796291</v>
      </c>
      <c r="D1782" s="331">
        <v>30818816564</v>
      </c>
      <c r="E1782" s="331">
        <v>578375923</v>
      </c>
      <c r="F1782" s="331">
        <v>795249</v>
      </c>
      <c r="G1782" s="332">
        <f t="shared" si="54"/>
        <v>1.5079870902332783E-5</v>
      </c>
      <c r="H1782" s="331">
        <v>1332508</v>
      </c>
      <c r="I1782" s="331">
        <v>0</v>
      </c>
      <c r="J1782" s="331">
        <f t="shared" si="55"/>
        <v>1332508</v>
      </c>
      <c r="K1782" s="199">
        <v>1.88</v>
      </c>
      <c r="L1782" s="199">
        <v>2.37</v>
      </c>
    </row>
    <row r="1783" spans="1:12" ht="15" customHeight="1" x14ac:dyDescent="0.25">
      <c r="A1783" s="49">
        <v>1997</v>
      </c>
      <c r="B1783" s="330" t="s">
        <v>51</v>
      </c>
      <c r="C1783" s="331">
        <v>59760915129</v>
      </c>
      <c r="D1783" s="331">
        <v>33092704946</v>
      </c>
      <c r="E1783" s="331">
        <v>710892728</v>
      </c>
      <c r="F1783" s="331">
        <v>662694</v>
      </c>
      <c r="G1783" s="332">
        <f t="shared" si="54"/>
        <v>1.1089087216444189E-5</v>
      </c>
      <c r="H1783" s="331">
        <v>1447195</v>
      </c>
      <c r="I1783" s="331">
        <v>0</v>
      </c>
      <c r="J1783" s="331">
        <f t="shared" si="55"/>
        <v>1447195</v>
      </c>
      <c r="K1783" s="199">
        <v>2.15</v>
      </c>
      <c r="L1783" s="199">
        <v>2.37</v>
      </c>
    </row>
    <row r="1784" spans="1:12" ht="15" customHeight="1" x14ac:dyDescent="0.25">
      <c r="A1784" s="49">
        <v>1998</v>
      </c>
      <c r="B1784" s="330" t="s">
        <v>51</v>
      </c>
      <c r="C1784" s="331">
        <v>67474776107</v>
      </c>
      <c r="D1784" s="331">
        <v>37210240805</v>
      </c>
      <c r="E1784" s="331">
        <v>802478625</v>
      </c>
      <c r="F1784" s="331">
        <v>726706</v>
      </c>
      <c r="G1784" s="332">
        <f t="shared" si="54"/>
        <v>1.077003944181461E-5</v>
      </c>
      <c r="H1784" s="331">
        <v>1622203</v>
      </c>
      <c r="I1784" s="331">
        <v>0</v>
      </c>
      <c r="J1784" s="331">
        <f t="shared" si="55"/>
        <v>1622203</v>
      </c>
      <c r="K1784" s="199">
        <v>2.16</v>
      </c>
      <c r="L1784" s="199">
        <v>2.37</v>
      </c>
    </row>
    <row r="1785" spans="1:12" ht="15" customHeight="1" x14ac:dyDescent="0.25">
      <c r="A1785" s="49">
        <v>1999</v>
      </c>
      <c r="B1785" s="330" t="s">
        <v>51</v>
      </c>
      <c r="C1785" s="331">
        <v>75245806412</v>
      </c>
      <c r="D1785" s="331">
        <v>40609294686</v>
      </c>
      <c r="E1785" s="331">
        <v>889405233</v>
      </c>
      <c r="F1785" s="331">
        <v>861001</v>
      </c>
      <c r="G1785" s="332">
        <f t="shared" si="54"/>
        <v>1.1442511430945204E-5</v>
      </c>
      <c r="H1785" s="331">
        <v>1752912</v>
      </c>
      <c r="I1785" s="331">
        <v>0</v>
      </c>
      <c r="J1785" s="331">
        <f t="shared" si="55"/>
        <v>1752912</v>
      </c>
      <c r="K1785" s="199">
        <v>2.19</v>
      </c>
      <c r="L1785" s="199">
        <v>2.37</v>
      </c>
    </row>
    <row r="1786" spans="1:12" x14ac:dyDescent="0.25">
      <c r="A1786" s="49">
        <v>2000</v>
      </c>
      <c r="B1786" s="330" t="s">
        <v>51</v>
      </c>
      <c r="C1786" s="331">
        <v>79861097755</v>
      </c>
      <c r="D1786" s="331">
        <v>42847813963</v>
      </c>
      <c r="E1786" s="331">
        <v>899346580</v>
      </c>
      <c r="F1786" s="331">
        <v>827064</v>
      </c>
      <c r="G1786" s="332">
        <f t="shared" si="54"/>
        <v>1.0356281384176422E-5</v>
      </c>
      <c r="H1786" s="331">
        <v>1963544</v>
      </c>
      <c r="I1786" s="331">
        <v>0</v>
      </c>
      <c r="J1786" s="331">
        <f t="shared" si="55"/>
        <v>1963544</v>
      </c>
      <c r="K1786" s="199">
        <v>2.1</v>
      </c>
      <c r="L1786" s="199">
        <v>2.37</v>
      </c>
    </row>
    <row r="1787" spans="1:12" ht="15" customHeight="1" x14ac:dyDescent="0.25">
      <c r="A1787" s="49">
        <v>2001</v>
      </c>
      <c r="B1787" s="330" t="s">
        <v>51</v>
      </c>
      <c r="C1787" s="331">
        <v>78644160630</v>
      </c>
      <c r="D1787" s="331">
        <v>44299141392</v>
      </c>
      <c r="E1787" s="331">
        <v>923196247</v>
      </c>
      <c r="F1787" s="331">
        <v>1198883</v>
      </c>
      <c r="G1787" s="332">
        <f t="shared" si="54"/>
        <v>1.5244399462032888E-5</v>
      </c>
      <c r="H1787" s="331">
        <v>1796158</v>
      </c>
      <c r="I1787" s="331">
        <v>0</v>
      </c>
      <c r="J1787" s="331">
        <f t="shared" si="55"/>
        <v>1796158</v>
      </c>
      <c r="K1787" s="199">
        <v>2.08</v>
      </c>
      <c r="L1787" s="199">
        <v>2.37</v>
      </c>
    </row>
    <row r="1788" spans="1:12" ht="15" customHeight="1" x14ac:dyDescent="0.25">
      <c r="A1788" s="49">
        <v>2002</v>
      </c>
      <c r="B1788" s="330" t="s">
        <v>51</v>
      </c>
      <c r="C1788" s="331">
        <v>77543723718</v>
      </c>
      <c r="D1788" s="331">
        <v>45359600000</v>
      </c>
      <c r="E1788" s="331">
        <v>937499469</v>
      </c>
      <c r="F1788" s="331">
        <v>1561735</v>
      </c>
      <c r="G1788" s="332">
        <f t="shared" si="54"/>
        <v>2.0140056797884714E-5</v>
      </c>
      <c r="H1788" s="331">
        <v>1320358</v>
      </c>
      <c r="I1788" s="331">
        <v>0</v>
      </c>
      <c r="J1788" s="331">
        <f t="shared" si="55"/>
        <v>1320358</v>
      </c>
      <c r="K1788" s="199">
        <v>2.0699999999999998</v>
      </c>
      <c r="L1788" s="199">
        <v>2.44</v>
      </c>
    </row>
    <row r="1789" spans="1:12" ht="15" customHeight="1" x14ac:dyDescent="0.25">
      <c r="A1789" s="49">
        <v>2003</v>
      </c>
      <c r="B1789" s="330" t="s">
        <v>51</v>
      </c>
      <c r="C1789" s="331">
        <v>78624216922</v>
      </c>
      <c r="D1789" s="331">
        <v>46352946569</v>
      </c>
      <c r="E1789" s="331">
        <v>1103160895</v>
      </c>
      <c r="F1789" s="331">
        <v>1366776</v>
      </c>
      <c r="G1789" s="332">
        <f t="shared" si="54"/>
        <v>1.7383651672561965E-5</v>
      </c>
      <c r="H1789" s="331">
        <v>972417</v>
      </c>
      <c r="I1789" s="331">
        <v>0</v>
      </c>
      <c r="J1789" s="331">
        <f t="shared" si="55"/>
        <v>972417</v>
      </c>
      <c r="K1789" s="199">
        <v>2.38</v>
      </c>
      <c r="L1789" s="199">
        <v>2.44</v>
      </c>
    </row>
    <row r="1790" spans="1:12" ht="15" customHeight="1" x14ac:dyDescent="0.25">
      <c r="A1790" s="49">
        <v>2004</v>
      </c>
      <c r="B1790" s="330" t="s">
        <v>51</v>
      </c>
      <c r="C1790" s="331">
        <v>80089855341</v>
      </c>
      <c r="D1790" s="331">
        <v>48398496958</v>
      </c>
      <c r="E1790" s="331">
        <v>1358416654</v>
      </c>
      <c r="F1790" s="331">
        <v>985814</v>
      </c>
      <c r="G1790" s="332">
        <f t="shared" si="54"/>
        <v>1.2308849801297333E-5</v>
      </c>
      <c r="H1790" s="331">
        <v>1376856</v>
      </c>
      <c r="I1790" s="331">
        <v>0</v>
      </c>
      <c r="J1790" s="331">
        <f t="shared" si="55"/>
        <v>1376856</v>
      </c>
      <c r="K1790" s="199">
        <v>2.81</v>
      </c>
      <c r="L1790" s="199">
        <v>2.44</v>
      </c>
    </row>
    <row r="1791" spans="1:12" ht="15" customHeight="1" x14ac:dyDescent="0.25">
      <c r="A1791" s="49">
        <v>2005</v>
      </c>
      <c r="B1791" s="330" t="s">
        <v>51</v>
      </c>
      <c r="C1791" s="331">
        <v>85558105262</v>
      </c>
      <c r="D1791" s="331">
        <v>51134514604</v>
      </c>
      <c r="E1791" s="331">
        <v>1420652882</v>
      </c>
      <c r="F1791" s="331">
        <v>706479</v>
      </c>
      <c r="G1791" s="332">
        <f t="shared" si="54"/>
        <v>8.2573006711238787E-6</v>
      </c>
      <c r="H1791" s="331">
        <v>2258054</v>
      </c>
      <c r="I1791" s="331">
        <v>0</v>
      </c>
      <c r="J1791" s="331">
        <f t="shared" si="55"/>
        <v>2258054</v>
      </c>
      <c r="K1791" s="199">
        <v>2.78</v>
      </c>
      <c r="L1791" s="199">
        <v>2.44</v>
      </c>
    </row>
    <row r="1792" spans="1:12" ht="15" customHeight="1" x14ac:dyDescent="0.25">
      <c r="A1792" s="49">
        <v>2006</v>
      </c>
      <c r="B1792" s="330" t="s">
        <v>51</v>
      </c>
      <c r="C1792" s="331">
        <v>93764617608</v>
      </c>
      <c r="D1792" s="331">
        <v>54491343261</v>
      </c>
      <c r="E1792" s="331">
        <v>1296245963</v>
      </c>
      <c r="F1792" s="331">
        <v>665373</v>
      </c>
      <c r="G1792" s="332">
        <f t="shared" si="54"/>
        <v>7.0962055514555879E-6</v>
      </c>
      <c r="H1792" s="331">
        <v>3112286</v>
      </c>
      <c r="I1792" s="331">
        <v>0</v>
      </c>
      <c r="J1792" s="331">
        <f t="shared" si="55"/>
        <v>3112286</v>
      </c>
      <c r="K1792" s="199">
        <v>2.38</v>
      </c>
      <c r="L1792" s="199">
        <v>2.44</v>
      </c>
    </row>
    <row r="1793" spans="1:12" ht="15" customHeight="1" x14ac:dyDescent="0.25">
      <c r="A1793" s="49">
        <v>2007</v>
      </c>
      <c r="B1793" s="330" t="s">
        <v>51</v>
      </c>
      <c r="C1793" s="331">
        <v>101438869563</v>
      </c>
      <c r="D1793" s="331">
        <v>57741584462</v>
      </c>
      <c r="E1793" s="331">
        <v>1137763571</v>
      </c>
      <c r="F1793" s="331">
        <v>671457</v>
      </c>
      <c r="G1793" s="332">
        <f t="shared" si="54"/>
        <v>6.6193265253511374E-6</v>
      </c>
      <c r="H1793" s="331">
        <v>3794156</v>
      </c>
      <c r="I1793" s="331">
        <v>0</v>
      </c>
      <c r="J1793" s="331">
        <f t="shared" si="55"/>
        <v>3794156</v>
      </c>
      <c r="K1793" s="199">
        <v>1.97</v>
      </c>
      <c r="L1793" s="199">
        <v>2.44</v>
      </c>
    </row>
    <row r="1794" spans="1:12" ht="15" customHeight="1" x14ac:dyDescent="0.25">
      <c r="A1794" s="49">
        <v>2008</v>
      </c>
      <c r="B1794" s="330" t="s">
        <v>51</v>
      </c>
      <c r="C1794" s="331">
        <v>105012532960</v>
      </c>
      <c r="D1794" s="331">
        <v>61301362460</v>
      </c>
      <c r="E1794" s="331">
        <v>1015626807</v>
      </c>
      <c r="F1794" s="331">
        <v>1008408</v>
      </c>
      <c r="G1794" s="332">
        <f t="shared" ref="G1794:G1857" si="56">F1794/C1794</f>
        <v>9.6027395166642587E-6</v>
      </c>
      <c r="H1794" s="331">
        <v>4044330</v>
      </c>
      <c r="I1794" s="331">
        <v>0</v>
      </c>
      <c r="J1794" s="331">
        <f t="shared" ref="J1794:J1857" si="57">H1794-I1794</f>
        <v>4044330</v>
      </c>
      <c r="K1794" s="199">
        <v>1.7</v>
      </c>
      <c r="L1794" s="199">
        <v>2.44</v>
      </c>
    </row>
    <row r="1795" spans="1:12" ht="15" customHeight="1" x14ac:dyDescent="0.25">
      <c r="A1795" s="49">
        <v>2009</v>
      </c>
      <c r="B1795" s="330" t="s">
        <v>51</v>
      </c>
      <c r="C1795" s="331">
        <v>100708481401</v>
      </c>
      <c r="D1795" s="331">
        <v>59414137527</v>
      </c>
      <c r="E1795" s="331">
        <v>831416854</v>
      </c>
      <c r="F1795" s="331">
        <v>2484142</v>
      </c>
      <c r="G1795" s="332">
        <f t="shared" si="56"/>
        <v>2.4666661292495007E-5</v>
      </c>
      <c r="H1795" s="331">
        <v>2596130</v>
      </c>
      <c r="I1795" s="331">
        <v>0</v>
      </c>
      <c r="J1795" s="331">
        <f t="shared" si="57"/>
        <v>2596130</v>
      </c>
      <c r="K1795" s="199">
        <v>1.4</v>
      </c>
      <c r="L1795" s="199">
        <v>2.17</v>
      </c>
    </row>
    <row r="1796" spans="1:12" ht="15" customHeight="1" x14ac:dyDescent="0.25">
      <c r="A1796" s="49">
        <v>2010</v>
      </c>
      <c r="B1796" s="330" t="s">
        <v>51</v>
      </c>
      <c r="C1796" s="331">
        <v>101395162361</v>
      </c>
      <c r="D1796" s="331">
        <v>59445687941</v>
      </c>
      <c r="E1796" s="331">
        <v>1339599559</v>
      </c>
      <c r="F1796" s="331">
        <v>1705959</v>
      </c>
      <c r="G1796" s="332">
        <f t="shared" si="56"/>
        <v>1.6824855942596423E-5</v>
      </c>
      <c r="H1796" s="331">
        <v>2392336</v>
      </c>
      <c r="I1796" s="331">
        <v>0</v>
      </c>
      <c r="J1796" s="331">
        <f t="shared" si="57"/>
        <v>2392336</v>
      </c>
      <c r="K1796" s="199">
        <v>2.2999999999999998</v>
      </c>
      <c r="L1796" s="199">
        <v>2.17</v>
      </c>
    </row>
    <row r="1797" spans="1:12" ht="15" customHeight="1" x14ac:dyDescent="0.25">
      <c r="A1797" s="49">
        <v>2011</v>
      </c>
      <c r="B1797" s="330" t="s">
        <v>51</v>
      </c>
      <c r="C1797" s="331">
        <v>107682463151</v>
      </c>
      <c r="D1797" s="331">
        <v>61906859078</v>
      </c>
      <c r="E1797" s="331">
        <v>1379955491</v>
      </c>
      <c r="F1797" s="331">
        <v>1186944</v>
      </c>
      <c r="G1797" s="332">
        <f t="shared" si="56"/>
        <v>1.1022630475452469E-5</v>
      </c>
      <c r="H1797" s="331">
        <v>2647396</v>
      </c>
      <c r="I1797" s="331">
        <v>0</v>
      </c>
      <c r="J1797" s="331">
        <f t="shared" si="57"/>
        <v>2647396</v>
      </c>
      <c r="K1797" s="199">
        <v>2.2000000000000002</v>
      </c>
      <c r="L1797" s="199">
        <v>2.17</v>
      </c>
    </row>
    <row r="1798" spans="1:12" ht="15" customHeight="1" x14ac:dyDescent="0.25">
      <c r="A1798" s="49">
        <v>2012</v>
      </c>
      <c r="B1798" s="330" t="s">
        <v>51</v>
      </c>
      <c r="C1798" s="331">
        <v>114391822950</v>
      </c>
      <c r="D1798" s="331">
        <v>64953943509</v>
      </c>
      <c r="E1798" s="331">
        <v>1144259950</v>
      </c>
      <c r="F1798" s="331">
        <v>1166001</v>
      </c>
      <c r="G1798" s="332">
        <f t="shared" si="56"/>
        <v>1.0193045009079472E-5</v>
      </c>
      <c r="H1798" s="331">
        <v>2718263</v>
      </c>
      <c r="I1798" s="331">
        <v>0</v>
      </c>
      <c r="J1798" s="331">
        <f t="shared" si="57"/>
        <v>2718263</v>
      </c>
      <c r="K1798" s="199">
        <v>1.76</v>
      </c>
      <c r="L1798" s="199">
        <v>2.17</v>
      </c>
    </row>
    <row r="1799" spans="1:12" ht="15" customHeight="1" x14ac:dyDescent="0.25">
      <c r="A1799" s="49">
        <v>2013</v>
      </c>
      <c r="B1799" s="330" t="s">
        <v>51</v>
      </c>
      <c r="C1799" s="331">
        <v>119928840244</v>
      </c>
      <c r="D1799" s="331">
        <v>69111833957</v>
      </c>
      <c r="E1799" s="331">
        <v>1269830726</v>
      </c>
      <c r="F1799" s="331">
        <v>1067099</v>
      </c>
      <c r="G1799" s="332">
        <f t="shared" si="56"/>
        <v>8.8977680250133714E-6</v>
      </c>
      <c r="H1799" s="331">
        <v>3015547</v>
      </c>
      <c r="I1799" s="331">
        <v>0</v>
      </c>
      <c r="J1799" s="331">
        <f t="shared" si="57"/>
        <v>3015547</v>
      </c>
      <c r="K1799" s="199">
        <v>1.84</v>
      </c>
      <c r="L1799" s="199">
        <v>2.17</v>
      </c>
    </row>
    <row r="1800" spans="1:12" ht="15" customHeight="1" x14ac:dyDescent="0.25">
      <c r="A1800" s="49">
        <v>2014</v>
      </c>
      <c r="B1800" s="330" t="s">
        <v>51</v>
      </c>
      <c r="C1800" s="331">
        <v>128654710901</v>
      </c>
      <c r="D1800" s="331">
        <v>72722164625</v>
      </c>
      <c r="E1800" s="331">
        <v>1231770465</v>
      </c>
      <c r="F1800" s="331">
        <v>958839</v>
      </c>
      <c r="G1800" s="332">
        <f t="shared" si="56"/>
        <v>7.4528090987498162E-6</v>
      </c>
      <c r="H1800" s="331">
        <v>3410343</v>
      </c>
      <c r="I1800" s="331">
        <v>0</v>
      </c>
      <c r="J1800" s="331">
        <f t="shared" si="57"/>
        <v>3410343</v>
      </c>
      <c r="K1800" s="333">
        <v>1.693803356035622</v>
      </c>
      <c r="L1800" s="199">
        <v>2.17</v>
      </c>
    </row>
    <row r="1801" spans="1:12" ht="15" customHeight="1" x14ac:dyDescent="0.25">
      <c r="A1801" s="49">
        <v>2015</v>
      </c>
      <c r="B1801" s="330" t="s">
        <v>51</v>
      </c>
      <c r="C1801" s="334">
        <v>135768736000</v>
      </c>
      <c r="D1801" s="334">
        <v>77756564000</v>
      </c>
      <c r="E1801" s="334">
        <v>1320991000</v>
      </c>
      <c r="F1801" s="331">
        <v>891602</v>
      </c>
      <c r="G1801" s="332">
        <f t="shared" si="56"/>
        <v>6.5670641582757312E-6</v>
      </c>
      <c r="H1801" s="331">
        <v>3873638</v>
      </c>
      <c r="I1801" s="199">
        <v>0</v>
      </c>
      <c r="J1801" s="331">
        <f t="shared" si="57"/>
        <v>3873638</v>
      </c>
      <c r="K1801" s="199">
        <v>1.5</v>
      </c>
      <c r="L1801" s="199">
        <v>2.17</v>
      </c>
    </row>
    <row r="1802" spans="1:12" ht="15" customHeight="1" x14ac:dyDescent="0.25">
      <c r="A1802" s="49">
        <v>1980</v>
      </c>
      <c r="B1802" s="330" t="s">
        <v>52</v>
      </c>
      <c r="C1802" s="331">
        <v>20689559015</v>
      </c>
      <c r="D1802" s="331">
        <v>8662728075</v>
      </c>
      <c r="E1802" s="331">
        <v>221218056</v>
      </c>
      <c r="F1802" s="331">
        <v>449638</v>
      </c>
      <c r="G1802" s="332">
        <f t="shared" si="56"/>
        <v>2.173260433796636E-5</v>
      </c>
      <c r="H1802" s="331">
        <v>270891</v>
      </c>
      <c r="I1802" s="331">
        <v>0</v>
      </c>
      <c r="J1802" s="331">
        <f t="shared" si="57"/>
        <v>270891</v>
      </c>
      <c r="K1802" s="199">
        <v>2.5499999999999998</v>
      </c>
      <c r="L1802" s="199">
        <v>2.0299999999999998</v>
      </c>
    </row>
    <row r="1803" spans="1:12" ht="15" customHeight="1" x14ac:dyDescent="0.25">
      <c r="A1803" s="49">
        <v>1981</v>
      </c>
      <c r="B1803" s="330" t="s">
        <v>52</v>
      </c>
      <c r="C1803" s="331">
        <v>22056520454</v>
      </c>
      <c r="D1803" s="331">
        <v>8655309539</v>
      </c>
      <c r="E1803" s="331">
        <v>211517498</v>
      </c>
      <c r="F1803" s="331">
        <v>420318</v>
      </c>
      <c r="G1803" s="332">
        <f t="shared" si="56"/>
        <v>1.9056405604709713E-5</v>
      </c>
      <c r="H1803" s="331">
        <v>54183</v>
      </c>
      <c r="I1803" s="331">
        <v>0</v>
      </c>
      <c r="J1803" s="331">
        <f t="shared" si="57"/>
        <v>54183</v>
      </c>
      <c r="K1803" s="199">
        <v>2.44</v>
      </c>
      <c r="L1803" s="199">
        <v>2.16</v>
      </c>
    </row>
    <row r="1804" spans="1:12" ht="15" customHeight="1" x14ac:dyDescent="0.25">
      <c r="A1804" s="49">
        <v>1982</v>
      </c>
      <c r="B1804" s="330" t="s">
        <v>52</v>
      </c>
      <c r="C1804" s="331">
        <v>22183993807</v>
      </c>
      <c r="D1804" s="331">
        <v>8391182345</v>
      </c>
      <c r="E1804" s="331">
        <v>222810504</v>
      </c>
      <c r="F1804" s="331">
        <v>629275</v>
      </c>
      <c r="G1804" s="332">
        <f t="shared" si="56"/>
        <v>2.8366172722309216E-5</v>
      </c>
      <c r="H1804" s="331">
        <v>0</v>
      </c>
      <c r="I1804" s="331">
        <v>412947</v>
      </c>
      <c r="J1804" s="331">
        <f t="shared" si="57"/>
        <v>-412947</v>
      </c>
      <c r="K1804" s="199">
        <v>2.66</v>
      </c>
      <c r="L1804" s="199">
        <v>2.54</v>
      </c>
    </row>
    <row r="1805" spans="1:12" ht="15" customHeight="1" x14ac:dyDescent="0.25">
      <c r="A1805" s="49">
        <v>1983</v>
      </c>
      <c r="B1805" s="330" t="s">
        <v>52</v>
      </c>
      <c r="C1805" s="331">
        <v>23077970391</v>
      </c>
      <c r="D1805" s="331">
        <v>10502160130</v>
      </c>
      <c r="E1805" s="331">
        <v>305101573</v>
      </c>
      <c r="F1805" s="331">
        <v>486952</v>
      </c>
      <c r="G1805" s="332">
        <f t="shared" si="56"/>
        <v>2.1100295725741232E-5</v>
      </c>
      <c r="H1805" s="331">
        <v>79</v>
      </c>
      <c r="I1805" s="331">
        <v>627635</v>
      </c>
      <c r="J1805" s="331">
        <f t="shared" si="57"/>
        <v>-627556</v>
      </c>
      <c r="K1805" s="199">
        <v>2.91</v>
      </c>
      <c r="L1805" s="199">
        <v>2.54</v>
      </c>
    </row>
    <row r="1806" spans="1:12" ht="15" customHeight="1" x14ac:dyDescent="0.25">
      <c r="A1806" s="49">
        <v>1984</v>
      </c>
      <c r="B1806" s="330" t="s">
        <v>52</v>
      </c>
      <c r="C1806" s="331">
        <v>25470816797</v>
      </c>
      <c r="D1806" s="331">
        <v>12545478103</v>
      </c>
      <c r="E1806" s="331">
        <v>579801336</v>
      </c>
      <c r="F1806" s="331">
        <v>340755</v>
      </c>
      <c r="G1806" s="332">
        <f t="shared" si="56"/>
        <v>1.3378251774012003E-5</v>
      </c>
      <c r="H1806" s="331">
        <v>124301</v>
      </c>
      <c r="I1806" s="331">
        <v>534474</v>
      </c>
      <c r="J1806" s="331">
        <f t="shared" si="57"/>
        <v>-410173</v>
      </c>
      <c r="K1806" s="199">
        <v>4.62</v>
      </c>
      <c r="L1806" s="199">
        <v>2.54</v>
      </c>
    </row>
    <row r="1807" spans="1:12" ht="15" customHeight="1" x14ac:dyDescent="0.25">
      <c r="A1807" s="49">
        <v>1985</v>
      </c>
      <c r="B1807" s="330" t="s">
        <v>52</v>
      </c>
      <c r="C1807" s="331">
        <v>26720298558</v>
      </c>
      <c r="D1807" s="331">
        <v>12818844579</v>
      </c>
      <c r="E1807" s="331">
        <v>560393049</v>
      </c>
      <c r="F1807" s="331">
        <v>400712</v>
      </c>
      <c r="G1807" s="332">
        <f t="shared" si="56"/>
        <v>1.4996539021830192E-5</v>
      </c>
      <c r="H1807" s="331">
        <v>87508</v>
      </c>
      <c r="I1807" s="331">
        <v>327797</v>
      </c>
      <c r="J1807" s="331">
        <f t="shared" si="57"/>
        <v>-240289</v>
      </c>
      <c r="K1807" s="199">
        <v>4.37</v>
      </c>
      <c r="L1807" s="199">
        <v>2.54</v>
      </c>
    </row>
    <row r="1808" spans="1:12" ht="15" customHeight="1" x14ac:dyDescent="0.25">
      <c r="A1808" s="49">
        <v>1986</v>
      </c>
      <c r="B1808" s="330" t="s">
        <v>52</v>
      </c>
      <c r="C1808" s="331">
        <v>28196725333</v>
      </c>
      <c r="D1808" s="331">
        <v>14106951009</v>
      </c>
      <c r="E1808" s="331">
        <v>652247548</v>
      </c>
      <c r="F1808" s="331">
        <v>347297</v>
      </c>
      <c r="G1808" s="332">
        <f t="shared" si="56"/>
        <v>1.2316926731684739E-5</v>
      </c>
      <c r="H1808" s="331">
        <v>67615</v>
      </c>
      <c r="I1808" s="331">
        <v>0</v>
      </c>
      <c r="J1808" s="331">
        <f t="shared" si="57"/>
        <v>67615</v>
      </c>
      <c r="K1808" s="199">
        <v>4.62</v>
      </c>
      <c r="L1808" s="199">
        <v>2.54</v>
      </c>
    </row>
    <row r="1809" spans="1:12" ht="15" customHeight="1" x14ac:dyDescent="0.25">
      <c r="A1809" s="49">
        <v>1987</v>
      </c>
      <c r="B1809" s="330" t="s">
        <v>52</v>
      </c>
      <c r="C1809" s="331">
        <v>30296222790</v>
      </c>
      <c r="D1809" s="331">
        <v>14756102492</v>
      </c>
      <c r="E1809" s="331">
        <v>623700695</v>
      </c>
      <c r="F1809" s="331">
        <v>302809</v>
      </c>
      <c r="G1809" s="332">
        <f t="shared" si="56"/>
        <v>9.9949423431078491E-6</v>
      </c>
      <c r="H1809" s="331">
        <v>404440</v>
      </c>
      <c r="I1809" s="331">
        <v>0</v>
      </c>
      <c r="J1809" s="331">
        <f t="shared" si="57"/>
        <v>404440</v>
      </c>
      <c r="K1809" s="199">
        <v>4.2300000000000004</v>
      </c>
      <c r="L1809" s="199">
        <v>2.54</v>
      </c>
    </row>
    <row r="1810" spans="1:12" ht="15" customHeight="1" x14ac:dyDescent="0.25">
      <c r="A1810" s="49">
        <v>1988</v>
      </c>
      <c r="B1810" s="330" t="s">
        <v>52</v>
      </c>
      <c r="C1810" s="331">
        <v>32896408968</v>
      </c>
      <c r="D1810" s="331">
        <v>15533027189</v>
      </c>
      <c r="E1810" s="331">
        <v>549846702</v>
      </c>
      <c r="F1810" s="331">
        <v>265367</v>
      </c>
      <c r="G1810" s="332">
        <f t="shared" si="56"/>
        <v>8.0667467460699397E-6</v>
      </c>
      <c r="H1810" s="331">
        <v>755575</v>
      </c>
      <c r="I1810" s="331">
        <v>0</v>
      </c>
      <c r="J1810" s="331">
        <f t="shared" si="57"/>
        <v>755575</v>
      </c>
      <c r="K1810" s="199">
        <v>3.54</v>
      </c>
      <c r="L1810" s="199">
        <v>2.54</v>
      </c>
    </row>
    <row r="1811" spans="1:12" ht="15" customHeight="1" x14ac:dyDescent="0.25">
      <c r="A1811" s="49">
        <v>1989</v>
      </c>
      <c r="B1811" s="330" t="s">
        <v>52</v>
      </c>
      <c r="C1811" s="331">
        <v>34643963327</v>
      </c>
      <c r="D1811" s="331">
        <v>16192071305</v>
      </c>
      <c r="E1811" s="331">
        <v>495414149</v>
      </c>
      <c r="F1811" s="331">
        <v>300687</v>
      </c>
      <c r="G1811" s="332">
        <f t="shared" si="56"/>
        <v>8.6793476012502765E-6</v>
      </c>
      <c r="H1811" s="331">
        <v>1040969</v>
      </c>
      <c r="I1811" s="331">
        <v>0</v>
      </c>
      <c r="J1811" s="331">
        <f t="shared" si="57"/>
        <v>1040969</v>
      </c>
      <c r="K1811" s="199">
        <v>3.06</v>
      </c>
      <c r="L1811" s="199">
        <v>2.54</v>
      </c>
    </row>
    <row r="1812" spans="1:12" ht="15" customHeight="1" x14ac:dyDescent="0.25">
      <c r="A1812" s="49">
        <v>1990</v>
      </c>
      <c r="B1812" s="330" t="s">
        <v>52</v>
      </c>
      <c r="C1812" s="331">
        <v>37014182480</v>
      </c>
      <c r="D1812" s="331">
        <v>16838719932</v>
      </c>
      <c r="E1812" s="331">
        <v>402001988</v>
      </c>
      <c r="F1812" s="331">
        <v>342199</v>
      </c>
      <c r="G1812" s="332">
        <f t="shared" si="56"/>
        <v>9.2450778883175815E-6</v>
      </c>
      <c r="H1812" s="331">
        <v>1210154</v>
      </c>
      <c r="I1812" s="331">
        <v>0</v>
      </c>
      <c r="J1812" s="331">
        <f t="shared" si="57"/>
        <v>1210154</v>
      </c>
      <c r="K1812" s="199">
        <v>2.39</v>
      </c>
      <c r="L1812" s="199">
        <v>2.54</v>
      </c>
    </row>
    <row r="1813" spans="1:12" ht="15" customHeight="1" x14ac:dyDescent="0.25">
      <c r="A1813" s="49">
        <v>1991</v>
      </c>
      <c r="B1813" s="330" t="s">
        <v>52</v>
      </c>
      <c r="C1813" s="331">
        <v>38208834262</v>
      </c>
      <c r="D1813" s="331">
        <v>17084971589</v>
      </c>
      <c r="E1813" s="331">
        <v>338697633</v>
      </c>
      <c r="F1813" s="331">
        <v>478116</v>
      </c>
      <c r="G1813" s="332">
        <f t="shared" si="56"/>
        <v>1.2513231801879463E-5</v>
      </c>
      <c r="H1813" s="331">
        <v>1171822</v>
      </c>
      <c r="I1813" s="331">
        <v>0</v>
      </c>
      <c r="J1813" s="331">
        <f t="shared" si="57"/>
        <v>1171822</v>
      </c>
      <c r="K1813" s="199">
        <v>1.98</v>
      </c>
      <c r="L1813" s="199">
        <v>2.54</v>
      </c>
    </row>
    <row r="1814" spans="1:12" ht="15" customHeight="1" x14ac:dyDescent="0.25">
      <c r="A1814" s="49">
        <v>1992</v>
      </c>
      <c r="B1814" s="330" t="s">
        <v>52</v>
      </c>
      <c r="C1814" s="331">
        <v>41212419349</v>
      </c>
      <c r="D1814" s="331">
        <v>17522566956</v>
      </c>
      <c r="E1814" s="331">
        <v>356875785</v>
      </c>
      <c r="F1814" s="331">
        <v>435457</v>
      </c>
      <c r="G1814" s="332">
        <f t="shared" si="56"/>
        <v>1.0566159591661201E-5</v>
      </c>
      <c r="H1814" s="331">
        <v>1194553</v>
      </c>
      <c r="I1814" s="331">
        <v>0</v>
      </c>
      <c r="J1814" s="331">
        <f t="shared" si="57"/>
        <v>1194553</v>
      </c>
      <c r="K1814" s="199">
        <v>2.04</v>
      </c>
      <c r="L1814" s="199">
        <v>2.54</v>
      </c>
    </row>
    <row r="1815" spans="1:12" ht="15" customHeight="1" x14ac:dyDescent="0.25">
      <c r="A1815" s="49">
        <v>1993</v>
      </c>
      <c r="B1815" s="330" t="s">
        <v>52</v>
      </c>
      <c r="C1815" s="331">
        <v>43217584119</v>
      </c>
      <c r="D1815" s="331">
        <v>18094723025</v>
      </c>
      <c r="E1815" s="331">
        <v>388974196</v>
      </c>
      <c r="F1815" s="331">
        <v>392275</v>
      </c>
      <c r="G1815" s="332">
        <f t="shared" si="56"/>
        <v>9.0767452183321328E-6</v>
      </c>
      <c r="H1815" s="331">
        <v>1241918</v>
      </c>
      <c r="I1815" s="331">
        <v>0</v>
      </c>
      <c r="J1815" s="331">
        <f t="shared" si="57"/>
        <v>1241918</v>
      </c>
      <c r="K1815" s="199">
        <v>2.15</v>
      </c>
      <c r="L1815" s="199">
        <v>2.54</v>
      </c>
    </row>
    <row r="1816" spans="1:12" ht="15" customHeight="1" x14ac:dyDescent="0.25">
      <c r="A1816" s="49">
        <v>1994</v>
      </c>
      <c r="B1816" s="330" t="s">
        <v>52</v>
      </c>
      <c r="C1816" s="331">
        <v>46208264134</v>
      </c>
      <c r="D1816" s="331">
        <v>18993186618</v>
      </c>
      <c r="E1816" s="331">
        <v>413837193</v>
      </c>
      <c r="F1816" s="331">
        <v>375691</v>
      </c>
      <c r="G1816" s="332">
        <f t="shared" si="56"/>
        <v>8.130385484954128E-6</v>
      </c>
      <c r="H1816" s="331">
        <v>1400119</v>
      </c>
      <c r="I1816" s="331">
        <v>0</v>
      </c>
      <c r="J1816" s="331">
        <f t="shared" si="57"/>
        <v>1400119</v>
      </c>
      <c r="K1816" s="199">
        <v>2.1800000000000002</v>
      </c>
      <c r="L1816" s="199">
        <v>2.54</v>
      </c>
    </row>
    <row r="1817" spans="1:12" ht="15" customHeight="1" x14ac:dyDescent="0.25">
      <c r="A1817" s="49">
        <v>1995</v>
      </c>
      <c r="B1817" s="330" t="s">
        <v>52</v>
      </c>
      <c r="C1817" s="331">
        <v>49104079545</v>
      </c>
      <c r="D1817" s="331">
        <v>19762459166</v>
      </c>
      <c r="E1817" s="331">
        <v>412148114</v>
      </c>
      <c r="F1817" s="331">
        <v>416647</v>
      </c>
      <c r="G1817" s="332">
        <f t="shared" si="56"/>
        <v>8.4849772943646368E-6</v>
      </c>
      <c r="H1817" s="331">
        <v>1503641</v>
      </c>
      <c r="I1817" s="331">
        <v>0</v>
      </c>
      <c r="J1817" s="331">
        <f t="shared" si="57"/>
        <v>1503641</v>
      </c>
      <c r="K1817" s="199">
        <v>2.09</v>
      </c>
      <c r="L1817" s="199">
        <v>2.54</v>
      </c>
    </row>
    <row r="1818" spans="1:12" ht="15" customHeight="1" x14ac:dyDescent="0.25">
      <c r="A1818" s="49">
        <v>1996</v>
      </c>
      <c r="B1818" s="330" t="s">
        <v>52</v>
      </c>
      <c r="C1818" s="331">
        <v>51880865390</v>
      </c>
      <c r="D1818" s="331">
        <v>20320610917</v>
      </c>
      <c r="E1818" s="331">
        <v>409902682</v>
      </c>
      <c r="F1818" s="331">
        <v>469636</v>
      </c>
      <c r="G1818" s="332">
        <f t="shared" si="56"/>
        <v>9.0522005843511247E-6</v>
      </c>
      <c r="H1818" s="331">
        <v>1556922</v>
      </c>
      <c r="I1818" s="331">
        <v>0</v>
      </c>
      <c r="J1818" s="331">
        <f t="shared" si="57"/>
        <v>1556922</v>
      </c>
      <c r="K1818" s="199">
        <v>2.02</v>
      </c>
      <c r="L1818" s="199">
        <v>2.54</v>
      </c>
    </row>
    <row r="1819" spans="1:12" ht="15" customHeight="1" x14ac:dyDescent="0.25">
      <c r="A1819" s="49">
        <v>1997</v>
      </c>
      <c r="B1819" s="330" t="s">
        <v>52</v>
      </c>
      <c r="C1819" s="331">
        <v>55973311889</v>
      </c>
      <c r="D1819" s="331">
        <v>21121260339</v>
      </c>
      <c r="E1819" s="331">
        <v>414254391</v>
      </c>
      <c r="F1819" s="331">
        <v>442374</v>
      </c>
      <c r="G1819" s="332">
        <f t="shared" si="56"/>
        <v>7.9033022179796428E-6</v>
      </c>
      <c r="H1819" s="331">
        <v>1632214</v>
      </c>
      <c r="I1819" s="331">
        <v>0</v>
      </c>
      <c r="J1819" s="331">
        <f t="shared" si="57"/>
        <v>1632214</v>
      </c>
      <c r="K1819" s="199">
        <v>1.96</v>
      </c>
      <c r="L1819" s="199">
        <v>2.54</v>
      </c>
    </row>
    <row r="1820" spans="1:12" ht="15" customHeight="1" x14ac:dyDescent="0.25">
      <c r="A1820" s="49">
        <v>1998</v>
      </c>
      <c r="B1820" s="330" t="s">
        <v>52</v>
      </c>
      <c r="C1820" s="331">
        <v>59747796630</v>
      </c>
      <c r="D1820" s="331">
        <v>22002070969</v>
      </c>
      <c r="E1820" s="331">
        <v>408049095</v>
      </c>
      <c r="F1820" s="331">
        <v>443860</v>
      </c>
      <c r="G1820" s="332">
        <f t="shared" si="56"/>
        <v>7.428893198333162E-6</v>
      </c>
      <c r="H1820" s="331">
        <v>1708174</v>
      </c>
      <c r="I1820" s="331">
        <v>0</v>
      </c>
      <c r="J1820" s="331">
        <f t="shared" si="57"/>
        <v>1708174</v>
      </c>
      <c r="K1820" s="199">
        <v>1.85</v>
      </c>
      <c r="L1820" s="199">
        <v>2.54</v>
      </c>
    </row>
    <row r="1821" spans="1:12" x14ac:dyDescent="0.25">
      <c r="A1821" s="49">
        <v>1999</v>
      </c>
      <c r="B1821" s="330" t="s">
        <v>52</v>
      </c>
      <c r="C1821" s="331">
        <v>63519551831</v>
      </c>
      <c r="D1821" s="331">
        <v>22645479691</v>
      </c>
      <c r="E1821" s="331">
        <v>426452856</v>
      </c>
      <c r="F1821" s="331">
        <v>456092</v>
      </c>
      <c r="G1821" s="332">
        <f t="shared" si="56"/>
        <v>7.1803403338467739E-6</v>
      </c>
      <c r="H1821" s="331">
        <v>1763548</v>
      </c>
      <c r="I1821" s="331">
        <v>0</v>
      </c>
      <c r="J1821" s="331">
        <f t="shared" si="57"/>
        <v>1763548</v>
      </c>
      <c r="K1821" s="199">
        <v>1.88</v>
      </c>
      <c r="L1821" s="199">
        <v>2.54</v>
      </c>
    </row>
    <row r="1822" spans="1:12" ht="15" customHeight="1" x14ac:dyDescent="0.25">
      <c r="A1822" s="49">
        <v>2000</v>
      </c>
      <c r="B1822" s="330" t="s">
        <v>52</v>
      </c>
      <c r="C1822" s="331">
        <v>66771002467</v>
      </c>
      <c r="D1822" s="331">
        <v>23290173979</v>
      </c>
      <c r="E1822" s="331">
        <v>434883365</v>
      </c>
      <c r="F1822" s="331">
        <v>508046</v>
      </c>
      <c r="G1822" s="332">
        <f t="shared" si="56"/>
        <v>7.6087819746467011E-6</v>
      </c>
      <c r="H1822" s="331">
        <v>1834982</v>
      </c>
      <c r="I1822" s="331">
        <v>0</v>
      </c>
      <c r="J1822" s="331">
        <f t="shared" si="57"/>
        <v>1834982</v>
      </c>
      <c r="K1822" s="199">
        <v>1.87</v>
      </c>
      <c r="L1822" s="199">
        <v>2.54</v>
      </c>
    </row>
    <row r="1823" spans="1:12" ht="15" customHeight="1" x14ac:dyDescent="0.25">
      <c r="A1823" s="49">
        <v>2001</v>
      </c>
      <c r="B1823" s="330" t="s">
        <v>52</v>
      </c>
      <c r="C1823" s="331">
        <v>67472764996</v>
      </c>
      <c r="D1823" s="331">
        <v>23002486756</v>
      </c>
      <c r="E1823" s="331">
        <v>424045649</v>
      </c>
      <c r="F1823" s="331">
        <v>788156</v>
      </c>
      <c r="G1823" s="332">
        <f t="shared" si="56"/>
        <v>1.1681098292721876E-5</v>
      </c>
      <c r="H1823" s="331">
        <v>1585127</v>
      </c>
      <c r="I1823" s="331">
        <v>0</v>
      </c>
      <c r="J1823" s="331">
        <f t="shared" si="57"/>
        <v>1585127</v>
      </c>
      <c r="K1823" s="199">
        <v>1.84</v>
      </c>
      <c r="L1823" s="199">
        <v>2.4500000000000002</v>
      </c>
    </row>
    <row r="1824" spans="1:12" ht="15" customHeight="1" x14ac:dyDescent="0.25">
      <c r="A1824" s="49">
        <v>2002</v>
      </c>
      <c r="B1824" s="330" t="s">
        <v>52</v>
      </c>
      <c r="C1824" s="331">
        <v>68168693504</v>
      </c>
      <c r="D1824" s="331">
        <v>22504251418</v>
      </c>
      <c r="E1824" s="331">
        <v>431611878</v>
      </c>
      <c r="F1824" s="331">
        <v>946629</v>
      </c>
      <c r="G1824" s="332">
        <f t="shared" si="56"/>
        <v>1.3886565098162748E-5</v>
      </c>
      <c r="H1824" s="331">
        <v>1327679</v>
      </c>
      <c r="I1824" s="331">
        <v>0</v>
      </c>
      <c r="J1824" s="331">
        <f t="shared" si="57"/>
        <v>1327679</v>
      </c>
      <c r="K1824" s="199">
        <v>1.92</v>
      </c>
      <c r="L1824" s="199">
        <v>2.4500000000000002</v>
      </c>
    </row>
    <row r="1825" spans="1:12" ht="15" customHeight="1" x14ac:dyDescent="0.25">
      <c r="A1825" s="49">
        <v>2003</v>
      </c>
      <c r="B1825" s="330" t="s">
        <v>52</v>
      </c>
      <c r="C1825" s="331">
        <v>69593891977</v>
      </c>
      <c r="D1825" s="331">
        <v>22395080476</v>
      </c>
      <c r="E1825" s="331">
        <v>498124850</v>
      </c>
      <c r="F1825" s="331">
        <v>929991</v>
      </c>
      <c r="G1825" s="332">
        <f t="shared" si="56"/>
        <v>1.3363112387899669E-5</v>
      </c>
      <c r="H1825" s="331">
        <v>961664</v>
      </c>
      <c r="I1825" s="331">
        <v>0</v>
      </c>
      <c r="J1825" s="331">
        <f t="shared" si="57"/>
        <v>961664</v>
      </c>
      <c r="K1825" s="199">
        <v>2.2200000000000002</v>
      </c>
      <c r="L1825" s="199">
        <v>2.4500000000000002</v>
      </c>
    </row>
    <row r="1826" spans="1:12" ht="15" customHeight="1" x14ac:dyDescent="0.25">
      <c r="A1826" s="49">
        <v>2004</v>
      </c>
      <c r="B1826" s="330" t="s">
        <v>52</v>
      </c>
      <c r="C1826" s="331">
        <v>73334769182</v>
      </c>
      <c r="D1826" s="331">
        <v>22951470939</v>
      </c>
      <c r="E1826" s="331">
        <v>606346724</v>
      </c>
      <c r="F1826" s="331">
        <v>801604</v>
      </c>
      <c r="G1826" s="332">
        <f t="shared" si="56"/>
        <v>1.0930749614969177E-5</v>
      </c>
      <c r="H1826" s="331">
        <v>800177</v>
      </c>
      <c r="I1826" s="331">
        <v>0</v>
      </c>
      <c r="J1826" s="331">
        <f t="shared" si="57"/>
        <v>800177</v>
      </c>
      <c r="K1826" s="199">
        <v>2.64</v>
      </c>
      <c r="L1826" s="199">
        <v>2.4500000000000002</v>
      </c>
    </row>
    <row r="1827" spans="1:12" ht="15" customHeight="1" x14ac:dyDescent="0.25">
      <c r="A1827" s="49">
        <v>2005</v>
      </c>
      <c r="B1827" s="330" t="s">
        <v>52</v>
      </c>
      <c r="C1827" s="331">
        <v>75747390540</v>
      </c>
      <c r="D1827" s="331">
        <v>23419103651</v>
      </c>
      <c r="E1827" s="331">
        <v>690315505</v>
      </c>
      <c r="F1827" s="331">
        <v>751845</v>
      </c>
      <c r="G1827" s="332">
        <f t="shared" si="56"/>
        <v>9.9256884579142353E-6</v>
      </c>
      <c r="H1827" s="331">
        <v>769088</v>
      </c>
      <c r="I1827" s="331">
        <v>0</v>
      </c>
      <c r="J1827" s="331">
        <f t="shared" si="57"/>
        <v>769088</v>
      </c>
      <c r="K1827" s="199">
        <v>2.95</v>
      </c>
      <c r="L1827" s="199">
        <v>2.4500000000000002</v>
      </c>
    </row>
    <row r="1828" spans="1:12" ht="15" customHeight="1" x14ac:dyDescent="0.25">
      <c r="A1828" s="49">
        <v>2006</v>
      </c>
      <c r="B1828" s="330" t="s">
        <v>52</v>
      </c>
      <c r="C1828" s="331">
        <v>79260158956</v>
      </c>
      <c r="D1828" s="331">
        <v>23806802846</v>
      </c>
      <c r="E1828" s="331">
        <v>682809775</v>
      </c>
      <c r="F1828" s="331">
        <v>749653</v>
      </c>
      <c r="G1828" s="332">
        <f t="shared" si="56"/>
        <v>9.4581314228269176E-6</v>
      </c>
      <c r="H1828" s="331">
        <v>733017</v>
      </c>
      <c r="I1828" s="331">
        <v>0</v>
      </c>
      <c r="J1828" s="331">
        <f t="shared" si="57"/>
        <v>733017</v>
      </c>
      <c r="K1828" s="199">
        <v>2.87</v>
      </c>
      <c r="L1828" s="199">
        <v>2.4500000000000002</v>
      </c>
    </row>
    <row r="1829" spans="1:12" ht="15" customHeight="1" x14ac:dyDescent="0.25">
      <c r="A1829" s="49">
        <v>2007</v>
      </c>
      <c r="B1829" s="330" t="s">
        <v>52</v>
      </c>
      <c r="C1829" s="331">
        <v>82117803114</v>
      </c>
      <c r="D1829" s="331">
        <v>24007214038</v>
      </c>
      <c r="E1829" s="331">
        <v>644802495</v>
      </c>
      <c r="F1829" s="331">
        <v>840952</v>
      </c>
      <c r="G1829" s="332">
        <f t="shared" si="56"/>
        <v>1.0240800022773975E-5</v>
      </c>
      <c r="H1829" s="331">
        <v>592228</v>
      </c>
      <c r="I1829" s="331">
        <v>0</v>
      </c>
      <c r="J1829" s="331">
        <f t="shared" si="57"/>
        <v>592228</v>
      </c>
      <c r="K1829" s="199">
        <v>2.69</v>
      </c>
      <c r="L1829" s="199">
        <v>2.4500000000000002</v>
      </c>
    </row>
    <row r="1830" spans="1:12" ht="15" customHeight="1" x14ac:dyDescent="0.25">
      <c r="A1830" s="49">
        <v>2008</v>
      </c>
      <c r="B1830" s="330" t="s">
        <v>52</v>
      </c>
      <c r="C1830" s="331">
        <v>83328319258</v>
      </c>
      <c r="D1830" s="331">
        <v>23835681758</v>
      </c>
      <c r="E1830" s="331">
        <v>619880249</v>
      </c>
      <c r="F1830" s="331">
        <v>997815</v>
      </c>
      <c r="G1830" s="332">
        <f t="shared" si="56"/>
        <v>1.1974500492570586E-5</v>
      </c>
      <c r="H1830" s="331">
        <v>234746</v>
      </c>
      <c r="I1830" s="331">
        <v>0</v>
      </c>
      <c r="J1830" s="331">
        <f t="shared" si="57"/>
        <v>234746</v>
      </c>
      <c r="K1830" s="199">
        <v>2.6</v>
      </c>
      <c r="L1830" s="199">
        <v>2.4500000000000002</v>
      </c>
    </row>
    <row r="1831" spans="1:12" ht="15" customHeight="1" x14ac:dyDescent="0.25">
      <c r="A1831" s="49">
        <v>2009</v>
      </c>
      <c r="B1831" s="330" t="s">
        <v>52</v>
      </c>
      <c r="C1831" s="331">
        <v>77418514383</v>
      </c>
      <c r="D1831" s="331">
        <v>24423564110</v>
      </c>
      <c r="E1831" s="331">
        <v>636411996</v>
      </c>
      <c r="F1831" s="331">
        <v>1865387</v>
      </c>
      <c r="G1831" s="332">
        <f t="shared" si="56"/>
        <v>2.4094843654215254E-5</v>
      </c>
      <c r="H1831" s="331">
        <v>26294</v>
      </c>
      <c r="I1831" s="331">
        <v>922008</v>
      </c>
      <c r="J1831" s="331">
        <f t="shared" si="57"/>
        <v>-895714</v>
      </c>
      <c r="K1831" s="199">
        <v>2.6</v>
      </c>
      <c r="L1831" s="199">
        <v>1.71</v>
      </c>
    </row>
    <row r="1832" spans="1:12" ht="15" customHeight="1" x14ac:dyDescent="0.25">
      <c r="A1832" s="49">
        <v>2010</v>
      </c>
      <c r="B1832" s="330" t="s">
        <v>52</v>
      </c>
      <c r="C1832" s="331">
        <v>78616967071</v>
      </c>
      <c r="D1832" s="331">
        <v>24478283945</v>
      </c>
      <c r="E1832" s="331">
        <v>878874610</v>
      </c>
      <c r="F1832" s="331">
        <v>1291327</v>
      </c>
      <c r="G1832" s="332">
        <f t="shared" si="56"/>
        <v>1.642555097341501E-5</v>
      </c>
      <c r="H1832" s="331">
        <v>39472</v>
      </c>
      <c r="I1832" s="331">
        <v>1400851</v>
      </c>
      <c r="J1832" s="331">
        <f t="shared" si="57"/>
        <v>-1361379</v>
      </c>
      <c r="K1832" s="199">
        <v>3.6</v>
      </c>
      <c r="L1832" s="199">
        <v>1.81</v>
      </c>
    </row>
    <row r="1833" spans="1:12" ht="15" customHeight="1" x14ac:dyDescent="0.25">
      <c r="A1833" s="49">
        <v>2011</v>
      </c>
      <c r="B1833" s="330" t="s">
        <v>52</v>
      </c>
      <c r="C1833" s="331">
        <v>82113510742</v>
      </c>
      <c r="D1833" s="331">
        <v>26640238234</v>
      </c>
      <c r="E1833" s="331">
        <v>1134375767</v>
      </c>
      <c r="F1833" s="331">
        <v>1013755</v>
      </c>
      <c r="G1833" s="332">
        <f t="shared" si="56"/>
        <v>1.234577587585081E-5</v>
      </c>
      <c r="H1833" s="331">
        <v>13849</v>
      </c>
      <c r="I1833" s="331">
        <v>1230112</v>
      </c>
      <c r="J1833" s="331">
        <f t="shared" si="57"/>
        <v>-1216263</v>
      </c>
      <c r="K1833" s="199">
        <v>4.3</v>
      </c>
      <c r="L1833" s="199">
        <v>1.81</v>
      </c>
    </row>
    <row r="1834" spans="1:12" ht="15" customHeight="1" x14ac:dyDescent="0.25">
      <c r="A1834" s="49">
        <v>2012</v>
      </c>
      <c r="B1834" s="330" t="s">
        <v>52</v>
      </c>
      <c r="C1834" s="331">
        <v>85601143267</v>
      </c>
      <c r="D1834" s="331">
        <v>27172080395</v>
      </c>
      <c r="E1834" s="331">
        <v>1180698911</v>
      </c>
      <c r="F1834" s="331">
        <v>869050</v>
      </c>
      <c r="G1834" s="332">
        <f t="shared" si="56"/>
        <v>1.015231767745591E-5</v>
      </c>
      <c r="H1834" s="331">
        <v>9321</v>
      </c>
      <c r="I1834" s="331">
        <v>855310</v>
      </c>
      <c r="J1834" s="331">
        <f t="shared" si="57"/>
        <v>-845989</v>
      </c>
      <c r="K1834" s="199">
        <v>4.3499999999999996</v>
      </c>
      <c r="L1834" s="199">
        <v>1.81</v>
      </c>
    </row>
    <row r="1835" spans="1:12" ht="15" customHeight="1" x14ac:dyDescent="0.25">
      <c r="A1835" s="49">
        <v>2013</v>
      </c>
      <c r="B1835" s="330" t="s">
        <v>52</v>
      </c>
      <c r="C1835" s="331">
        <v>88455654390</v>
      </c>
      <c r="D1835" s="331">
        <v>29338363307</v>
      </c>
      <c r="E1835" s="331">
        <v>1164792849</v>
      </c>
      <c r="F1835" s="331">
        <v>783236</v>
      </c>
      <c r="G1835" s="332">
        <f t="shared" si="56"/>
        <v>8.8545611402830301E-6</v>
      </c>
      <c r="H1835" s="331">
        <v>4732</v>
      </c>
      <c r="I1835" s="331">
        <v>399434</v>
      </c>
      <c r="J1835" s="331">
        <f t="shared" si="57"/>
        <v>-394702</v>
      </c>
      <c r="K1835" s="199">
        <v>3.97</v>
      </c>
      <c r="L1835" s="199">
        <v>1.81</v>
      </c>
    </row>
    <row r="1836" spans="1:12" ht="15" customHeight="1" x14ac:dyDescent="0.25">
      <c r="A1836" s="49">
        <v>2014</v>
      </c>
      <c r="B1836" s="330" t="s">
        <v>52</v>
      </c>
      <c r="C1836" s="331">
        <v>92087940975</v>
      </c>
      <c r="D1836" s="331">
        <v>30221000951</v>
      </c>
      <c r="E1836" s="331">
        <v>1087301179</v>
      </c>
      <c r="F1836" s="331">
        <v>646020</v>
      </c>
      <c r="G1836" s="332">
        <f t="shared" si="56"/>
        <v>7.0152507826771943E-6</v>
      </c>
      <c r="H1836" s="331">
        <v>214956</v>
      </c>
      <c r="I1836" s="331">
        <v>0</v>
      </c>
      <c r="J1836" s="331">
        <f t="shared" si="57"/>
        <v>214956</v>
      </c>
      <c r="K1836" s="333">
        <v>3.597833112023451</v>
      </c>
      <c r="L1836" s="199">
        <v>1.81</v>
      </c>
    </row>
    <row r="1837" spans="1:12" ht="15" customHeight="1" x14ac:dyDescent="0.25">
      <c r="A1837" s="49">
        <v>2015</v>
      </c>
      <c r="B1837" s="330" t="s">
        <v>52</v>
      </c>
      <c r="C1837" s="334">
        <v>96775061000</v>
      </c>
      <c r="D1837" s="334">
        <v>31176122000</v>
      </c>
      <c r="E1837" s="334">
        <v>1037290000</v>
      </c>
      <c r="F1837" s="331">
        <v>527504</v>
      </c>
      <c r="G1837" s="332">
        <f t="shared" si="56"/>
        <v>5.4508258072810723E-6</v>
      </c>
      <c r="H1837" s="331">
        <v>746895</v>
      </c>
      <c r="I1837" s="199">
        <v>0</v>
      </c>
      <c r="J1837" s="331">
        <f t="shared" si="57"/>
        <v>746895</v>
      </c>
      <c r="K1837" s="199">
        <v>3.3</v>
      </c>
      <c r="L1837" s="199">
        <v>1.81</v>
      </c>
    </row>
    <row r="1838" spans="1:12" ht="15" customHeight="1" x14ac:dyDescent="0.25">
      <c r="A1838" s="49">
        <v>1980</v>
      </c>
      <c r="B1838" s="330" t="s">
        <v>53</v>
      </c>
      <c r="C1838" s="331">
        <v>7293171999</v>
      </c>
      <c r="D1838" s="331">
        <v>3048356968</v>
      </c>
      <c r="E1838" s="331">
        <v>78536260</v>
      </c>
      <c r="F1838" s="331">
        <v>158148</v>
      </c>
      <c r="G1838" s="332">
        <f t="shared" si="56"/>
        <v>2.1684391924622701E-5</v>
      </c>
      <c r="H1838" s="331">
        <v>3267</v>
      </c>
      <c r="I1838" s="331">
        <v>47214</v>
      </c>
      <c r="J1838" s="331">
        <f t="shared" si="57"/>
        <v>-43947</v>
      </c>
      <c r="K1838" s="199">
        <v>2.58</v>
      </c>
      <c r="L1838" s="199">
        <v>1.8</v>
      </c>
    </row>
    <row r="1839" spans="1:12" ht="15" customHeight="1" x14ac:dyDescent="0.25">
      <c r="A1839" s="49">
        <v>1981</v>
      </c>
      <c r="B1839" s="330" t="s">
        <v>53</v>
      </c>
      <c r="C1839" s="331">
        <v>7590082547</v>
      </c>
      <c r="D1839" s="331">
        <v>3683465793</v>
      </c>
      <c r="E1839" s="331">
        <v>140619402</v>
      </c>
      <c r="F1839" s="331">
        <v>149327</v>
      </c>
      <c r="G1839" s="332">
        <f t="shared" si="56"/>
        <v>1.9673962578842029E-5</v>
      </c>
      <c r="H1839" s="331">
        <v>29065</v>
      </c>
      <c r="I1839" s="331">
        <v>99814</v>
      </c>
      <c r="J1839" s="331">
        <f t="shared" si="57"/>
        <v>-70749</v>
      </c>
      <c r="K1839" s="199">
        <v>3.82</v>
      </c>
      <c r="L1839" s="199">
        <v>1.94</v>
      </c>
    </row>
    <row r="1840" spans="1:12" ht="15" customHeight="1" x14ac:dyDescent="0.25">
      <c r="A1840" s="49">
        <v>1982</v>
      </c>
      <c r="B1840" s="330" t="s">
        <v>53</v>
      </c>
      <c r="C1840" s="331">
        <v>7685028779</v>
      </c>
      <c r="D1840" s="331">
        <v>3546999309</v>
      </c>
      <c r="E1840" s="331">
        <v>161752149</v>
      </c>
      <c r="F1840" s="331">
        <v>233902</v>
      </c>
      <c r="G1840" s="332">
        <f t="shared" si="56"/>
        <v>3.0436060387848809E-5</v>
      </c>
      <c r="H1840" s="331">
        <v>0</v>
      </c>
      <c r="I1840" s="331">
        <v>144197</v>
      </c>
      <c r="J1840" s="331">
        <f t="shared" si="57"/>
        <v>-144197</v>
      </c>
      <c r="K1840" s="199">
        <v>4.5599999999999996</v>
      </c>
      <c r="L1840" s="199">
        <v>2.5299999999999998</v>
      </c>
    </row>
    <row r="1841" spans="1:12" ht="15" customHeight="1" x14ac:dyDescent="0.25">
      <c r="A1841" s="49">
        <v>1983</v>
      </c>
      <c r="B1841" s="330" t="s">
        <v>53</v>
      </c>
      <c r="C1841" s="331">
        <v>7269656961</v>
      </c>
      <c r="D1841" s="331">
        <v>3306709613</v>
      </c>
      <c r="E1841" s="331">
        <v>143407071</v>
      </c>
      <c r="F1841" s="331">
        <v>259433</v>
      </c>
      <c r="G1841" s="332">
        <f t="shared" si="56"/>
        <v>3.5687103448181539E-5</v>
      </c>
      <c r="H1841" s="331">
        <v>45</v>
      </c>
      <c r="I1841" s="331">
        <v>288082</v>
      </c>
      <c r="J1841" s="331">
        <f t="shared" si="57"/>
        <v>-288037</v>
      </c>
      <c r="K1841" s="199">
        <v>4.34</v>
      </c>
      <c r="L1841" s="199">
        <v>3.17</v>
      </c>
    </row>
    <row r="1842" spans="1:12" ht="15" customHeight="1" x14ac:dyDescent="0.25">
      <c r="A1842" s="49">
        <v>1984</v>
      </c>
      <c r="B1842" s="330" t="s">
        <v>53</v>
      </c>
      <c r="C1842" s="331">
        <v>7733323034</v>
      </c>
      <c r="D1842" s="331">
        <v>3389992673</v>
      </c>
      <c r="E1842" s="331">
        <v>151960962</v>
      </c>
      <c r="F1842" s="331">
        <v>145501</v>
      </c>
      <c r="G1842" s="332">
        <f t="shared" si="56"/>
        <v>1.8814809540516602E-5</v>
      </c>
      <c r="H1842" s="331">
        <v>33015</v>
      </c>
      <c r="I1842" s="331">
        <v>308190</v>
      </c>
      <c r="J1842" s="331">
        <f t="shared" si="57"/>
        <v>-275175</v>
      </c>
      <c r="K1842" s="199">
        <v>4.4800000000000004</v>
      </c>
      <c r="L1842" s="199">
        <v>3.17</v>
      </c>
    </row>
    <row r="1843" spans="1:12" ht="15" customHeight="1" x14ac:dyDescent="0.25">
      <c r="A1843" s="49">
        <v>1985</v>
      </c>
      <c r="B1843" s="330" t="s">
        <v>53</v>
      </c>
      <c r="C1843" s="331">
        <v>7873021727</v>
      </c>
      <c r="D1843" s="331">
        <v>3375219132</v>
      </c>
      <c r="E1843" s="331">
        <v>152438313</v>
      </c>
      <c r="F1843" s="331">
        <v>145390</v>
      </c>
      <c r="G1843" s="332">
        <f t="shared" si="56"/>
        <v>1.8466861268957858E-5</v>
      </c>
      <c r="H1843" s="331">
        <v>0</v>
      </c>
      <c r="I1843" s="331">
        <v>255970</v>
      </c>
      <c r="J1843" s="331">
        <f t="shared" si="57"/>
        <v>-255970</v>
      </c>
      <c r="K1843" s="199">
        <v>4.5199999999999996</v>
      </c>
      <c r="L1843" s="199">
        <v>3.17</v>
      </c>
    </row>
    <row r="1844" spans="1:12" ht="15" customHeight="1" x14ac:dyDescent="0.25">
      <c r="A1844" s="49">
        <v>1986</v>
      </c>
      <c r="B1844" s="330" t="s">
        <v>53</v>
      </c>
      <c r="C1844" s="331">
        <v>7992157044</v>
      </c>
      <c r="D1844" s="331">
        <v>3377832101</v>
      </c>
      <c r="E1844" s="331">
        <v>152684697</v>
      </c>
      <c r="F1844" s="331">
        <v>143350</v>
      </c>
      <c r="G1844" s="332">
        <f t="shared" si="56"/>
        <v>1.7936334235025825E-5</v>
      </c>
      <c r="H1844" s="331">
        <v>0</v>
      </c>
      <c r="I1844" s="331">
        <v>225243</v>
      </c>
      <c r="J1844" s="331">
        <f t="shared" si="57"/>
        <v>-225243</v>
      </c>
      <c r="K1844" s="199">
        <v>4.5199999999999996</v>
      </c>
      <c r="L1844" s="199">
        <v>3.17</v>
      </c>
    </row>
    <row r="1845" spans="1:12" ht="15" customHeight="1" x14ac:dyDescent="0.25">
      <c r="A1845" s="49">
        <v>1987</v>
      </c>
      <c r="B1845" s="330" t="s">
        <v>53</v>
      </c>
      <c r="C1845" s="331">
        <v>8169972332</v>
      </c>
      <c r="D1845" s="331">
        <v>3407743736</v>
      </c>
      <c r="E1845" s="331">
        <v>146152484</v>
      </c>
      <c r="F1845" s="331">
        <v>119959</v>
      </c>
      <c r="G1845" s="332">
        <f t="shared" si="56"/>
        <v>1.4682913861304861E-5</v>
      </c>
      <c r="H1845" s="331">
        <v>65251</v>
      </c>
      <c r="I1845" s="331">
        <v>0</v>
      </c>
      <c r="J1845" s="331">
        <f t="shared" si="57"/>
        <v>65251</v>
      </c>
      <c r="K1845" s="199">
        <v>4.29</v>
      </c>
      <c r="L1845" s="199">
        <v>3.17</v>
      </c>
    </row>
    <row r="1846" spans="1:12" ht="15" customHeight="1" x14ac:dyDescent="0.25">
      <c r="A1846" s="49">
        <v>1988</v>
      </c>
      <c r="B1846" s="330" t="s">
        <v>53</v>
      </c>
      <c r="C1846" s="331">
        <v>8592698837</v>
      </c>
      <c r="D1846" s="331">
        <v>3473205294</v>
      </c>
      <c r="E1846" s="331">
        <v>142071039</v>
      </c>
      <c r="F1846" s="331">
        <v>97591</v>
      </c>
      <c r="G1846" s="332">
        <f t="shared" si="56"/>
        <v>1.1357432845170249E-5</v>
      </c>
      <c r="H1846" s="331">
        <v>133355</v>
      </c>
      <c r="I1846" s="331">
        <v>0</v>
      </c>
      <c r="J1846" s="331">
        <f t="shared" si="57"/>
        <v>133355</v>
      </c>
      <c r="K1846" s="199">
        <v>4.09</v>
      </c>
      <c r="L1846" s="199">
        <v>3.17</v>
      </c>
    </row>
    <row r="1847" spans="1:12" ht="15" customHeight="1" x14ac:dyDescent="0.25">
      <c r="A1847" s="49">
        <v>1989</v>
      </c>
      <c r="B1847" s="330" t="s">
        <v>53</v>
      </c>
      <c r="C1847" s="331">
        <v>8923745387</v>
      </c>
      <c r="D1847" s="331">
        <v>3542896348</v>
      </c>
      <c r="E1847" s="331">
        <v>77505098</v>
      </c>
      <c r="F1847" s="331">
        <v>91429</v>
      </c>
      <c r="G1847" s="332">
        <f t="shared" si="56"/>
        <v>1.0245585909834744E-5</v>
      </c>
      <c r="H1847" s="331">
        <v>145845</v>
      </c>
      <c r="I1847" s="331">
        <v>0</v>
      </c>
      <c r="J1847" s="331">
        <f t="shared" si="57"/>
        <v>145845</v>
      </c>
      <c r="K1847" s="199">
        <v>2.19</v>
      </c>
      <c r="L1847" s="199">
        <v>3.17</v>
      </c>
    </row>
    <row r="1848" spans="1:12" ht="15" customHeight="1" x14ac:dyDescent="0.25">
      <c r="A1848" s="49">
        <v>1990</v>
      </c>
      <c r="B1848" s="330" t="s">
        <v>53</v>
      </c>
      <c r="C1848" s="331">
        <v>9527759981</v>
      </c>
      <c r="D1848" s="331">
        <v>3679766854</v>
      </c>
      <c r="E1848" s="331">
        <v>79140025</v>
      </c>
      <c r="F1848" s="331">
        <v>92456</v>
      </c>
      <c r="G1848" s="332">
        <f t="shared" si="56"/>
        <v>9.7038548603631126E-6</v>
      </c>
      <c r="H1848" s="331">
        <v>152752</v>
      </c>
      <c r="I1848" s="331">
        <v>0</v>
      </c>
      <c r="J1848" s="331">
        <f t="shared" si="57"/>
        <v>152752</v>
      </c>
      <c r="K1848" s="199">
        <v>2.15</v>
      </c>
      <c r="L1848" s="199">
        <v>3.17</v>
      </c>
    </row>
    <row r="1849" spans="1:12" ht="15" customHeight="1" x14ac:dyDescent="0.25">
      <c r="A1849" s="49">
        <v>1991</v>
      </c>
      <c r="B1849" s="330" t="s">
        <v>53</v>
      </c>
      <c r="C1849" s="331">
        <v>9673488129</v>
      </c>
      <c r="D1849" s="331">
        <v>3704538958</v>
      </c>
      <c r="E1849" s="331">
        <v>108535072</v>
      </c>
      <c r="F1849" s="331">
        <v>146060</v>
      </c>
      <c r="G1849" s="332">
        <f t="shared" si="56"/>
        <v>1.5099000283272069E-5</v>
      </c>
      <c r="H1849" s="331">
        <v>157124</v>
      </c>
      <c r="I1849" s="331">
        <v>0</v>
      </c>
      <c r="J1849" s="331">
        <f t="shared" si="57"/>
        <v>157124</v>
      </c>
      <c r="K1849" s="199">
        <v>2.93</v>
      </c>
      <c r="L1849" s="199">
        <v>3.17</v>
      </c>
    </row>
    <row r="1850" spans="1:12" ht="15" customHeight="1" x14ac:dyDescent="0.25">
      <c r="A1850" s="49">
        <v>1992</v>
      </c>
      <c r="B1850" s="330" t="s">
        <v>53</v>
      </c>
      <c r="C1850" s="331">
        <v>10155834655</v>
      </c>
      <c r="D1850" s="331">
        <v>3789971861</v>
      </c>
      <c r="E1850" s="331">
        <v>114232347</v>
      </c>
      <c r="F1850" s="331">
        <v>138712</v>
      </c>
      <c r="G1850" s="332">
        <f t="shared" si="56"/>
        <v>1.3658355488458866E-5</v>
      </c>
      <c r="H1850" s="331">
        <v>140517</v>
      </c>
      <c r="I1850" s="331">
        <v>0</v>
      </c>
      <c r="J1850" s="331">
        <f t="shared" si="57"/>
        <v>140517</v>
      </c>
      <c r="K1850" s="199">
        <v>3.01</v>
      </c>
      <c r="L1850" s="199">
        <v>3.17</v>
      </c>
    </row>
    <row r="1851" spans="1:12" ht="15" customHeight="1" x14ac:dyDescent="0.25">
      <c r="A1851" s="49">
        <v>1993</v>
      </c>
      <c r="B1851" s="330" t="s">
        <v>53</v>
      </c>
      <c r="C1851" s="331">
        <v>10345315623</v>
      </c>
      <c r="D1851" s="331">
        <v>3911613657</v>
      </c>
      <c r="E1851" s="331">
        <v>119798069</v>
      </c>
      <c r="F1851" s="331">
        <v>116518</v>
      </c>
      <c r="G1851" s="332">
        <f t="shared" si="56"/>
        <v>1.1262875319236647E-5</v>
      </c>
      <c r="H1851" s="331">
        <v>154512</v>
      </c>
      <c r="I1851" s="331">
        <v>0</v>
      </c>
      <c r="J1851" s="331">
        <f t="shared" si="57"/>
        <v>154512</v>
      </c>
      <c r="K1851" s="199">
        <v>3.06</v>
      </c>
      <c r="L1851" s="199">
        <v>3.17</v>
      </c>
    </row>
    <row r="1852" spans="1:12" ht="15" customHeight="1" x14ac:dyDescent="0.25">
      <c r="A1852" s="49">
        <v>1994</v>
      </c>
      <c r="B1852" s="330" t="s">
        <v>53</v>
      </c>
      <c r="C1852" s="331">
        <v>10997623083</v>
      </c>
      <c r="D1852" s="331">
        <v>4053304322</v>
      </c>
      <c r="E1852" s="331">
        <v>123598881</v>
      </c>
      <c r="F1852" s="331">
        <v>124947</v>
      </c>
      <c r="G1852" s="332">
        <f t="shared" si="56"/>
        <v>1.1361273163938638E-5</v>
      </c>
      <c r="H1852" s="331">
        <v>161671</v>
      </c>
      <c r="I1852" s="331">
        <v>0</v>
      </c>
      <c r="J1852" s="331">
        <f t="shared" si="57"/>
        <v>161671</v>
      </c>
      <c r="K1852" s="199">
        <v>3.05</v>
      </c>
      <c r="L1852" s="199">
        <v>3.17</v>
      </c>
    </row>
    <row r="1853" spans="1:12" ht="15" customHeight="1" x14ac:dyDescent="0.25">
      <c r="A1853" s="49">
        <v>1995</v>
      </c>
      <c r="B1853" s="330" t="s">
        <v>53</v>
      </c>
      <c r="C1853" s="331">
        <v>11424390039</v>
      </c>
      <c r="D1853" s="331">
        <v>4138418394</v>
      </c>
      <c r="E1853" s="331">
        <v>123818541</v>
      </c>
      <c r="F1853" s="331">
        <v>133056</v>
      </c>
      <c r="G1853" s="332">
        <f t="shared" si="56"/>
        <v>1.1646661182415885E-5</v>
      </c>
      <c r="H1853" s="331">
        <v>164036</v>
      </c>
      <c r="I1853" s="331">
        <v>0</v>
      </c>
      <c r="J1853" s="331">
        <f t="shared" si="57"/>
        <v>164036</v>
      </c>
      <c r="K1853" s="199">
        <v>2.99</v>
      </c>
      <c r="L1853" s="199">
        <v>3.17</v>
      </c>
    </row>
    <row r="1854" spans="1:12" ht="15" customHeight="1" x14ac:dyDescent="0.25">
      <c r="A1854" s="49">
        <v>1996</v>
      </c>
      <c r="B1854" s="330" t="s">
        <v>53</v>
      </c>
      <c r="C1854" s="331">
        <v>11812323187</v>
      </c>
      <c r="D1854" s="331">
        <v>4213467994</v>
      </c>
      <c r="E1854" s="331">
        <v>125157220</v>
      </c>
      <c r="F1854" s="331">
        <v>140898</v>
      </c>
      <c r="G1854" s="332">
        <f t="shared" si="56"/>
        <v>1.1928051558482981E-5</v>
      </c>
      <c r="H1854" s="331">
        <v>157345</v>
      </c>
      <c r="I1854" s="331">
        <v>0</v>
      </c>
      <c r="J1854" s="331">
        <f t="shared" si="57"/>
        <v>157345</v>
      </c>
      <c r="K1854" s="199">
        <v>2.97</v>
      </c>
      <c r="L1854" s="199">
        <v>3.17</v>
      </c>
    </row>
    <row r="1855" spans="1:12" ht="15" customHeight="1" x14ac:dyDescent="0.25">
      <c r="A1855" s="49">
        <v>1997</v>
      </c>
      <c r="B1855" s="330" t="s">
        <v>53</v>
      </c>
      <c r="C1855" s="331">
        <v>12235246099</v>
      </c>
      <c r="D1855" s="331">
        <v>4317933872</v>
      </c>
      <c r="E1855" s="331">
        <v>125927938</v>
      </c>
      <c r="F1855" s="331">
        <v>128467</v>
      </c>
      <c r="G1855" s="332">
        <f t="shared" si="56"/>
        <v>1.0499747938090084E-5</v>
      </c>
      <c r="H1855" s="331">
        <v>165917</v>
      </c>
      <c r="I1855" s="331">
        <v>0</v>
      </c>
      <c r="J1855" s="331">
        <f t="shared" si="57"/>
        <v>165917</v>
      </c>
      <c r="K1855" s="199">
        <v>2.92</v>
      </c>
      <c r="L1855" s="199">
        <v>3.17</v>
      </c>
    </row>
    <row r="1856" spans="1:12" x14ac:dyDescent="0.25">
      <c r="A1856" s="49">
        <v>1998</v>
      </c>
      <c r="B1856" s="330" t="s">
        <v>53</v>
      </c>
      <c r="C1856" s="331">
        <v>12682664283</v>
      </c>
      <c r="D1856" s="331">
        <v>4424847149</v>
      </c>
      <c r="E1856" s="331">
        <v>127929942</v>
      </c>
      <c r="F1856" s="331">
        <v>114555</v>
      </c>
      <c r="G1856" s="332">
        <f t="shared" si="56"/>
        <v>9.0324081315903736E-6</v>
      </c>
      <c r="H1856" s="331">
        <v>181322</v>
      </c>
      <c r="I1856" s="331">
        <v>0</v>
      </c>
      <c r="J1856" s="331">
        <f t="shared" si="57"/>
        <v>181322</v>
      </c>
      <c r="K1856" s="199">
        <v>2.89</v>
      </c>
      <c r="L1856" s="199">
        <v>3.17</v>
      </c>
    </row>
    <row r="1857" spans="1:12" x14ac:dyDescent="0.25">
      <c r="A1857" s="49">
        <v>1999</v>
      </c>
      <c r="B1857" s="330" t="s">
        <v>53</v>
      </c>
      <c r="C1857" s="331">
        <v>12990403076</v>
      </c>
      <c r="D1857" s="331">
        <v>4453628627</v>
      </c>
      <c r="E1857" s="331">
        <v>127591540</v>
      </c>
      <c r="F1857" s="331">
        <v>124063</v>
      </c>
      <c r="G1857" s="332">
        <f t="shared" si="56"/>
        <v>9.5503580046110028E-6</v>
      </c>
      <c r="H1857" s="331">
        <v>188427</v>
      </c>
      <c r="I1857" s="331">
        <v>0</v>
      </c>
      <c r="J1857" s="331">
        <f t="shared" si="57"/>
        <v>188427</v>
      </c>
      <c r="K1857" s="199">
        <v>2.87</v>
      </c>
      <c r="L1857" s="199">
        <v>3.17</v>
      </c>
    </row>
    <row r="1858" spans="1:12" x14ac:dyDescent="0.25">
      <c r="A1858" s="49">
        <v>2000</v>
      </c>
      <c r="B1858" s="330" t="s">
        <v>53</v>
      </c>
      <c r="C1858" s="331">
        <v>13484198268</v>
      </c>
      <c r="D1858" s="331">
        <v>4530218170</v>
      </c>
      <c r="E1858" s="331">
        <v>130654898</v>
      </c>
      <c r="F1858" s="331">
        <v>107551</v>
      </c>
      <c r="G1858" s="332">
        <f t="shared" ref="G1858:G1909" si="58">F1858/C1858</f>
        <v>7.9760767279159972E-6</v>
      </c>
      <c r="H1858" s="331">
        <v>222839</v>
      </c>
      <c r="I1858" s="331">
        <v>0</v>
      </c>
      <c r="J1858" s="331">
        <f t="shared" ref="J1858:J1909" si="59">H1858-I1858</f>
        <v>222839</v>
      </c>
      <c r="K1858" s="199">
        <v>2.88</v>
      </c>
      <c r="L1858" s="199">
        <v>3.17</v>
      </c>
    </row>
    <row r="1859" spans="1:12" x14ac:dyDescent="0.25">
      <c r="A1859" s="49">
        <v>2001</v>
      </c>
      <c r="B1859" s="330" t="s">
        <v>53</v>
      </c>
      <c r="C1859" s="331">
        <v>13995683082</v>
      </c>
      <c r="D1859" s="331">
        <v>4563251167</v>
      </c>
      <c r="E1859" s="331">
        <v>131444451</v>
      </c>
      <c r="F1859" s="331">
        <v>126886</v>
      </c>
      <c r="G1859" s="332">
        <f t="shared" si="58"/>
        <v>9.0660812520961879E-6</v>
      </c>
      <c r="H1859" s="331">
        <v>239569</v>
      </c>
      <c r="I1859" s="331">
        <v>0</v>
      </c>
      <c r="J1859" s="331">
        <f t="shared" si="59"/>
        <v>239569</v>
      </c>
      <c r="K1859" s="199">
        <v>2.88</v>
      </c>
      <c r="L1859" s="199">
        <v>3.11</v>
      </c>
    </row>
    <row r="1860" spans="1:12" x14ac:dyDescent="0.25">
      <c r="A1860" s="49">
        <v>2002</v>
      </c>
      <c r="B1860" s="330" t="s">
        <v>53</v>
      </c>
      <c r="C1860" s="331">
        <v>14086675876</v>
      </c>
      <c r="D1860" s="331">
        <v>4491197775</v>
      </c>
      <c r="E1860" s="331">
        <v>124492433</v>
      </c>
      <c r="F1860" s="331">
        <v>159859</v>
      </c>
      <c r="G1860" s="332">
        <f t="shared" si="58"/>
        <v>1.1348241516109404E-5</v>
      </c>
      <c r="H1860" s="331">
        <v>257055</v>
      </c>
      <c r="I1860" s="331">
        <v>0</v>
      </c>
      <c r="J1860" s="331">
        <f t="shared" si="59"/>
        <v>257055</v>
      </c>
      <c r="K1860" s="199">
        <v>2.77</v>
      </c>
      <c r="L1860" s="199">
        <v>3.11</v>
      </c>
    </row>
    <row r="1861" spans="1:12" x14ac:dyDescent="0.25">
      <c r="A1861" s="49">
        <v>2003</v>
      </c>
      <c r="B1861" s="330" t="s">
        <v>53</v>
      </c>
      <c r="C1861" s="331">
        <v>14219921200</v>
      </c>
      <c r="D1861" s="331">
        <v>4435972788</v>
      </c>
      <c r="E1861" s="331">
        <v>122731274</v>
      </c>
      <c r="F1861" s="331">
        <v>177090</v>
      </c>
      <c r="G1861" s="332">
        <f t="shared" si="58"/>
        <v>1.245365550970845E-5</v>
      </c>
      <c r="H1861" s="331">
        <v>207605</v>
      </c>
      <c r="I1861" s="331">
        <v>0</v>
      </c>
      <c r="J1861" s="331">
        <f t="shared" si="59"/>
        <v>207605</v>
      </c>
      <c r="K1861" s="199">
        <v>2.77</v>
      </c>
      <c r="L1861" s="199">
        <v>3.11</v>
      </c>
    </row>
    <row r="1862" spans="1:12" x14ac:dyDescent="0.25">
      <c r="A1862" s="49">
        <v>2004</v>
      </c>
      <c r="B1862" s="330" t="s">
        <v>53</v>
      </c>
      <c r="C1862" s="331">
        <v>15070113272</v>
      </c>
      <c r="D1862" s="331">
        <v>4592707205</v>
      </c>
      <c r="E1862" s="331">
        <v>131312388</v>
      </c>
      <c r="F1862" s="331">
        <v>141362</v>
      </c>
      <c r="G1862" s="332">
        <f t="shared" si="58"/>
        <v>9.380287821900321E-6</v>
      </c>
      <c r="H1862" s="331">
        <v>203701</v>
      </c>
      <c r="I1862" s="331">
        <v>0</v>
      </c>
      <c r="J1862" s="331">
        <f t="shared" si="59"/>
        <v>203701</v>
      </c>
      <c r="K1862" s="199">
        <v>2.86</v>
      </c>
      <c r="L1862" s="199">
        <v>3.11</v>
      </c>
    </row>
    <row r="1863" spans="1:12" x14ac:dyDescent="0.25">
      <c r="A1863" s="49">
        <v>2005</v>
      </c>
      <c r="B1863" s="330" t="s">
        <v>53</v>
      </c>
      <c r="C1863" s="331">
        <v>15780213454</v>
      </c>
      <c r="D1863" s="331">
        <v>4684710554</v>
      </c>
      <c r="E1863" s="331">
        <v>134241922</v>
      </c>
      <c r="F1863" s="331">
        <v>135386</v>
      </c>
      <c r="G1863" s="332">
        <f t="shared" si="58"/>
        <v>8.579478369836758E-6</v>
      </c>
      <c r="H1863" s="331">
        <v>217456</v>
      </c>
      <c r="I1863" s="331">
        <v>0</v>
      </c>
      <c r="J1863" s="331">
        <f t="shared" si="59"/>
        <v>217456</v>
      </c>
      <c r="K1863" s="199">
        <v>2.87</v>
      </c>
      <c r="L1863" s="199">
        <v>3.11</v>
      </c>
    </row>
    <row r="1864" spans="1:12" x14ac:dyDescent="0.25">
      <c r="A1864" s="49">
        <v>2006</v>
      </c>
      <c r="B1864" s="330" t="s">
        <v>53</v>
      </c>
      <c r="C1864" s="331">
        <v>16804901340</v>
      </c>
      <c r="D1864" s="331">
        <v>4843998735</v>
      </c>
      <c r="E1864" s="331">
        <v>137768296</v>
      </c>
      <c r="F1864" s="331">
        <v>127125</v>
      </c>
      <c r="G1864" s="332">
        <f t="shared" si="58"/>
        <v>7.5647572947905209E-6</v>
      </c>
      <c r="H1864" s="331">
        <v>242451</v>
      </c>
      <c r="I1864" s="331">
        <v>0</v>
      </c>
      <c r="J1864" s="331">
        <f t="shared" si="59"/>
        <v>242451</v>
      </c>
      <c r="K1864" s="199">
        <v>2.84</v>
      </c>
      <c r="L1864" s="199">
        <v>3.11</v>
      </c>
    </row>
    <row r="1865" spans="1:12" x14ac:dyDescent="0.25">
      <c r="A1865" s="49">
        <v>2007</v>
      </c>
      <c r="B1865" s="330" t="s">
        <v>53</v>
      </c>
      <c r="C1865" s="331">
        <v>17492304636</v>
      </c>
      <c r="D1865" s="331">
        <v>4867348666</v>
      </c>
      <c r="E1865" s="331">
        <v>134282192</v>
      </c>
      <c r="F1865" s="331">
        <v>142772</v>
      </c>
      <c r="G1865" s="332">
        <f t="shared" si="58"/>
        <v>8.1619891129821968E-6</v>
      </c>
      <c r="H1865" s="331">
        <v>244786</v>
      </c>
      <c r="I1865" s="331">
        <v>0</v>
      </c>
      <c r="J1865" s="331">
        <f t="shared" si="59"/>
        <v>244786</v>
      </c>
      <c r="K1865" s="199">
        <v>2.76</v>
      </c>
      <c r="L1865" s="199">
        <v>3.11</v>
      </c>
    </row>
    <row r="1866" spans="1:12" x14ac:dyDescent="0.25">
      <c r="A1866" s="49">
        <v>2008</v>
      </c>
      <c r="B1866" s="330" t="s">
        <v>53</v>
      </c>
      <c r="C1866" s="331">
        <v>18521505257</v>
      </c>
      <c r="D1866" s="331">
        <v>4940809394</v>
      </c>
      <c r="E1866" s="331">
        <v>136425874</v>
      </c>
      <c r="F1866" s="331">
        <v>159732</v>
      </c>
      <c r="G1866" s="332">
        <f t="shared" si="58"/>
        <v>8.6241370657296353E-6</v>
      </c>
      <c r="H1866" s="331">
        <v>232319</v>
      </c>
      <c r="I1866" s="331">
        <v>0</v>
      </c>
      <c r="J1866" s="331">
        <f t="shared" si="59"/>
        <v>232319</v>
      </c>
      <c r="K1866" s="199">
        <v>2.8</v>
      </c>
      <c r="L1866" s="199">
        <v>3.11</v>
      </c>
    </row>
    <row r="1867" spans="1:12" x14ac:dyDescent="0.25">
      <c r="A1867" s="49">
        <v>2009</v>
      </c>
      <c r="B1867" s="330" t="s">
        <v>53</v>
      </c>
      <c r="C1867" s="331">
        <v>18155213096</v>
      </c>
      <c r="D1867" s="331">
        <v>6234968777</v>
      </c>
      <c r="E1867" s="331">
        <v>168659454</v>
      </c>
      <c r="F1867" s="331">
        <v>333836</v>
      </c>
      <c r="G1867" s="332">
        <f t="shared" si="58"/>
        <v>1.8387886621587026E-5</v>
      </c>
      <c r="H1867" s="331">
        <v>123859</v>
      </c>
      <c r="I1867" s="331">
        <v>0</v>
      </c>
      <c r="J1867" s="331">
        <f t="shared" si="59"/>
        <v>123859</v>
      </c>
      <c r="K1867" s="199">
        <v>2.7</v>
      </c>
      <c r="L1867" s="199">
        <v>1.59</v>
      </c>
    </row>
    <row r="1868" spans="1:12" x14ac:dyDescent="0.25">
      <c r="A1868" s="49">
        <v>2010</v>
      </c>
      <c r="B1868" s="330" t="s">
        <v>53</v>
      </c>
      <c r="C1868" s="331">
        <v>18559845984</v>
      </c>
      <c r="D1868" s="331">
        <v>6431141143</v>
      </c>
      <c r="E1868" s="331">
        <v>189489095</v>
      </c>
      <c r="F1868" s="331">
        <v>237078</v>
      </c>
      <c r="G1868" s="332">
        <f t="shared" si="58"/>
        <v>1.2773705137660047E-5</v>
      </c>
      <c r="H1868" s="331">
        <v>76837</v>
      </c>
      <c r="I1868" s="331">
        <v>0</v>
      </c>
      <c r="J1868" s="331">
        <f t="shared" si="59"/>
        <v>76837</v>
      </c>
      <c r="K1868" s="199">
        <v>2.9</v>
      </c>
      <c r="L1868" s="199">
        <v>1.59</v>
      </c>
    </row>
    <row r="1869" spans="1:12" x14ac:dyDescent="0.25">
      <c r="A1869" s="49">
        <v>2011</v>
      </c>
      <c r="B1869" s="330" t="s">
        <v>53</v>
      </c>
      <c r="C1869" s="331">
        <v>19738806719</v>
      </c>
      <c r="D1869" s="331">
        <v>6644445029</v>
      </c>
      <c r="E1869" s="331">
        <v>210587790</v>
      </c>
      <c r="F1869" s="331">
        <v>188053</v>
      </c>
      <c r="G1869" s="332">
        <f t="shared" si="58"/>
        <v>9.5270703379949335E-6</v>
      </c>
      <c r="H1869" s="331">
        <v>105325</v>
      </c>
      <c r="I1869" s="331">
        <v>0</v>
      </c>
      <c r="J1869" s="331">
        <f t="shared" si="59"/>
        <v>105325</v>
      </c>
      <c r="K1869" s="199">
        <v>3.2</v>
      </c>
      <c r="L1869" s="199">
        <v>1.59</v>
      </c>
    </row>
    <row r="1870" spans="1:12" x14ac:dyDescent="0.25">
      <c r="A1870" s="49">
        <v>2012</v>
      </c>
      <c r="B1870" s="330" t="s">
        <v>53</v>
      </c>
      <c r="C1870" s="331">
        <v>20305382769</v>
      </c>
      <c r="D1870" s="331">
        <v>6743780977</v>
      </c>
      <c r="E1870" s="331">
        <v>214099569</v>
      </c>
      <c r="F1870" s="331">
        <v>220195</v>
      </c>
      <c r="G1870" s="332">
        <f t="shared" si="58"/>
        <v>1.0844168883935999E-5</v>
      </c>
      <c r="H1870" s="331">
        <v>108144</v>
      </c>
      <c r="I1870" s="331">
        <v>0</v>
      </c>
      <c r="J1870" s="331">
        <f t="shared" si="59"/>
        <v>108144</v>
      </c>
      <c r="K1870" s="199">
        <v>3.17</v>
      </c>
      <c r="L1870" s="199">
        <v>1.59</v>
      </c>
    </row>
    <row r="1871" spans="1:12" x14ac:dyDescent="0.25">
      <c r="A1871" s="49">
        <v>2013</v>
      </c>
      <c r="B1871" s="330" t="s">
        <v>53</v>
      </c>
      <c r="C1871" s="331">
        <v>20282269503</v>
      </c>
      <c r="D1871" s="331">
        <v>6701399737</v>
      </c>
      <c r="E1871" s="331">
        <v>203444922</v>
      </c>
      <c r="F1871" s="331">
        <v>214073</v>
      </c>
      <c r="G1871" s="332">
        <f t="shared" si="58"/>
        <v>1.0554686691661203E-5</v>
      </c>
      <c r="H1871" s="331">
        <v>101772</v>
      </c>
      <c r="I1871" s="331">
        <v>0</v>
      </c>
      <c r="J1871" s="331">
        <f t="shared" si="59"/>
        <v>101772</v>
      </c>
      <c r="K1871" s="199">
        <v>3.04</v>
      </c>
      <c r="L1871" s="199">
        <v>1.59</v>
      </c>
    </row>
    <row r="1872" spans="1:12" x14ac:dyDescent="0.25">
      <c r="A1872" s="49">
        <v>2014</v>
      </c>
      <c r="B1872" s="330" t="s">
        <v>53</v>
      </c>
      <c r="C1872" s="331">
        <v>20653282838</v>
      </c>
      <c r="D1872" s="331">
        <v>6782209239</v>
      </c>
      <c r="E1872" s="331">
        <v>204820159</v>
      </c>
      <c r="F1872" s="331">
        <v>202616</v>
      </c>
      <c r="G1872" s="332">
        <f t="shared" si="58"/>
        <v>9.8103532300059624E-6</v>
      </c>
      <c r="H1872" s="331">
        <v>105433</v>
      </c>
      <c r="I1872" s="331">
        <v>0</v>
      </c>
      <c r="J1872" s="331">
        <f t="shared" si="59"/>
        <v>105433</v>
      </c>
      <c r="K1872" s="333">
        <v>3.0199622539247937</v>
      </c>
      <c r="L1872" s="199">
        <v>1.59</v>
      </c>
    </row>
    <row r="1873" spans="1:12" x14ac:dyDescent="0.25">
      <c r="A1873" s="49">
        <v>2015</v>
      </c>
      <c r="B1873" s="330" t="s">
        <v>53</v>
      </c>
      <c r="C1873" s="334">
        <v>20599250000</v>
      </c>
      <c r="D1873" s="334">
        <v>6746146000</v>
      </c>
      <c r="E1873" s="334">
        <v>198714000</v>
      </c>
      <c r="F1873" s="331">
        <v>221970</v>
      </c>
      <c r="G1873" s="332">
        <f t="shared" si="58"/>
        <v>1.0775635035256138E-5</v>
      </c>
      <c r="H1873" s="331">
        <v>82372</v>
      </c>
      <c r="I1873" s="199">
        <v>0</v>
      </c>
      <c r="J1873" s="331">
        <f t="shared" si="59"/>
        <v>82372</v>
      </c>
      <c r="K1873" s="199">
        <v>2.9</v>
      </c>
      <c r="L1873" s="199">
        <v>1.59</v>
      </c>
    </row>
    <row r="1874" spans="1:12" x14ac:dyDescent="0.25">
      <c r="A1874" s="49">
        <v>1980</v>
      </c>
      <c r="B1874" s="330" t="s">
        <v>54</v>
      </c>
      <c r="C1874" s="331">
        <v>2597001088</v>
      </c>
      <c r="D1874" s="331">
        <v>1144487854</v>
      </c>
      <c r="E1874" s="331">
        <v>12972023</v>
      </c>
      <c r="F1874" s="331">
        <v>16014</v>
      </c>
      <c r="G1874" s="332">
        <f t="shared" si="58"/>
        <v>6.1663432002381973E-6</v>
      </c>
      <c r="H1874" s="331">
        <v>75101</v>
      </c>
      <c r="I1874" s="331">
        <v>0</v>
      </c>
      <c r="J1874" s="331">
        <f t="shared" si="59"/>
        <v>75101</v>
      </c>
      <c r="K1874" s="199">
        <v>1.1299999999999999</v>
      </c>
      <c r="L1874" s="199">
        <v>2.09</v>
      </c>
    </row>
    <row r="1875" spans="1:12" x14ac:dyDescent="0.25">
      <c r="A1875" s="49">
        <v>1981</v>
      </c>
      <c r="B1875" s="330" t="s">
        <v>54</v>
      </c>
      <c r="C1875" s="331">
        <v>3026693943</v>
      </c>
      <c r="D1875" s="331">
        <v>1245669589</v>
      </c>
      <c r="E1875" s="331">
        <v>14142766</v>
      </c>
      <c r="F1875" s="331">
        <v>25573</v>
      </c>
      <c r="G1875" s="332">
        <f t="shared" si="58"/>
        <v>8.4491529310864312E-6</v>
      </c>
      <c r="H1875" s="331">
        <v>72452</v>
      </c>
      <c r="I1875" s="331">
        <v>0</v>
      </c>
      <c r="J1875" s="331">
        <f t="shared" si="59"/>
        <v>72452</v>
      </c>
      <c r="K1875" s="199">
        <v>1.1399999999999999</v>
      </c>
      <c r="L1875" s="199">
        <v>1.69</v>
      </c>
    </row>
    <row r="1876" spans="1:12" x14ac:dyDescent="0.25">
      <c r="A1876" s="49">
        <v>1982</v>
      </c>
      <c r="B1876" s="330" t="s">
        <v>54</v>
      </c>
      <c r="C1876" s="331">
        <v>3041726972</v>
      </c>
      <c r="D1876" s="331">
        <v>1161317809</v>
      </c>
      <c r="E1876" s="331">
        <v>26124157</v>
      </c>
      <c r="F1876" s="331">
        <v>59516</v>
      </c>
      <c r="G1876" s="332">
        <f t="shared" si="58"/>
        <v>1.9566516175798307E-5</v>
      </c>
      <c r="H1876" s="331">
        <v>46006</v>
      </c>
      <c r="I1876" s="331">
        <v>0</v>
      </c>
      <c r="J1876" s="331">
        <f t="shared" si="59"/>
        <v>46006</v>
      </c>
      <c r="K1876" s="199">
        <v>2.25</v>
      </c>
      <c r="L1876" s="199">
        <v>1.6</v>
      </c>
    </row>
    <row r="1877" spans="1:12" x14ac:dyDescent="0.25">
      <c r="A1877" s="49">
        <v>1983</v>
      </c>
      <c r="B1877" s="330" t="s">
        <v>54</v>
      </c>
      <c r="C1877" s="331">
        <v>2646924795</v>
      </c>
      <c r="D1877" s="331">
        <v>1287773406</v>
      </c>
      <c r="E1877" s="331">
        <v>52050374</v>
      </c>
      <c r="F1877" s="331">
        <v>74511</v>
      </c>
      <c r="G1877" s="332">
        <f t="shared" si="58"/>
        <v>2.8150025320232039E-5</v>
      </c>
      <c r="H1877" s="331">
        <v>6560</v>
      </c>
      <c r="I1877" s="331">
        <v>0</v>
      </c>
      <c r="J1877" s="331">
        <f t="shared" si="59"/>
        <v>6560</v>
      </c>
      <c r="K1877" s="199">
        <v>4.04</v>
      </c>
      <c r="L1877" s="199">
        <v>1.97</v>
      </c>
    </row>
    <row r="1878" spans="1:12" x14ac:dyDescent="0.25">
      <c r="A1878" s="49">
        <v>1984</v>
      </c>
      <c r="B1878" s="330" t="s">
        <v>54</v>
      </c>
      <c r="C1878" s="331">
        <v>2707692852</v>
      </c>
      <c r="D1878" s="331">
        <v>1365411577</v>
      </c>
      <c r="E1878" s="331">
        <v>51941947</v>
      </c>
      <c r="F1878" s="331">
        <v>34167</v>
      </c>
      <c r="G1878" s="332">
        <f t="shared" si="58"/>
        <v>1.2618491781578187E-5</v>
      </c>
      <c r="H1878" s="331">
        <v>27277</v>
      </c>
      <c r="I1878" s="331">
        <v>0</v>
      </c>
      <c r="J1878" s="331">
        <f t="shared" si="59"/>
        <v>27277</v>
      </c>
      <c r="K1878" s="199">
        <v>3.8</v>
      </c>
      <c r="L1878" s="199">
        <v>2.09</v>
      </c>
    </row>
    <row r="1879" spans="1:12" x14ac:dyDescent="0.25">
      <c r="A1879" s="49">
        <v>1985</v>
      </c>
      <c r="B1879" s="330" t="s">
        <v>54</v>
      </c>
      <c r="C1879" s="331">
        <v>2828936196</v>
      </c>
      <c r="D1879" s="331">
        <v>1396933632</v>
      </c>
      <c r="E1879" s="331">
        <v>49968609</v>
      </c>
      <c r="F1879" s="331">
        <v>33924</v>
      </c>
      <c r="G1879" s="332">
        <f t="shared" si="58"/>
        <v>1.1991786894298693E-5</v>
      </c>
      <c r="H1879" s="331">
        <v>45250</v>
      </c>
      <c r="I1879" s="331">
        <v>0</v>
      </c>
      <c r="J1879" s="331">
        <f t="shared" si="59"/>
        <v>45250</v>
      </c>
      <c r="K1879" s="199">
        <v>3.58</v>
      </c>
      <c r="L1879" s="199">
        <v>2.09</v>
      </c>
    </row>
    <row r="1880" spans="1:12" x14ac:dyDescent="0.25">
      <c r="A1880" s="49">
        <v>1986</v>
      </c>
      <c r="B1880" s="330" t="s">
        <v>54</v>
      </c>
      <c r="C1880" s="331">
        <v>2609179361</v>
      </c>
      <c r="D1880" s="331">
        <v>1326069537</v>
      </c>
      <c r="E1880" s="331">
        <v>45030792</v>
      </c>
      <c r="F1880" s="331">
        <v>61866</v>
      </c>
      <c r="G1880" s="332">
        <f t="shared" si="58"/>
        <v>2.3710903483572358E-5</v>
      </c>
      <c r="H1880" s="331">
        <v>37383</v>
      </c>
      <c r="I1880" s="331">
        <v>0</v>
      </c>
      <c r="J1880" s="331">
        <f t="shared" si="59"/>
        <v>37383</v>
      </c>
      <c r="K1880" s="199">
        <v>3.4</v>
      </c>
      <c r="L1880" s="199">
        <v>2.4500000000000002</v>
      </c>
    </row>
    <row r="1881" spans="1:12" x14ac:dyDescent="0.25">
      <c r="A1881" s="49">
        <v>1987</v>
      </c>
      <c r="B1881" s="330" t="s">
        <v>54</v>
      </c>
      <c r="C1881" s="331">
        <v>2356640257</v>
      </c>
      <c r="D1881" s="331">
        <v>1190539604</v>
      </c>
      <c r="E1881" s="331">
        <v>33761307</v>
      </c>
      <c r="F1881" s="331">
        <v>50813</v>
      </c>
      <c r="G1881" s="332">
        <f t="shared" si="58"/>
        <v>2.1561627766082924E-5</v>
      </c>
      <c r="H1881" s="331">
        <v>18357</v>
      </c>
      <c r="I1881" s="331">
        <v>0</v>
      </c>
      <c r="J1881" s="331">
        <f t="shared" si="59"/>
        <v>18357</v>
      </c>
      <c r="K1881" s="199">
        <v>2.84</v>
      </c>
      <c r="L1881" s="199">
        <v>2.5499999999999998</v>
      </c>
    </row>
    <row r="1882" spans="1:12" x14ac:dyDescent="0.25">
      <c r="A1882" s="49">
        <v>1988</v>
      </c>
      <c r="B1882" s="330" t="s">
        <v>54</v>
      </c>
      <c r="C1882" s="331">
        <v>2445195327</v>
      </c>
      <c r="D1882" s="331">
        <v>1198717197</v>
      </c>
      <c r="E1882" s="331">
        <v>38881613</v>
      </c>
      <c r="F1882" s="331">
        <v>25067</v>
      </c>
      <c r="G1882" s="332">
        <f t="shared" si="58"/>
        <v>1.0251532760270157E-5</v>
      </c>
      <c r="H1882" s="331">
        <v>33737</v>
      </c>
      <c r="I1882" s="331">
        <v>0</v>
      </c>
      <c r="J1882" s="331">
        <f t="shared" si="59"/>
        <v>33737</v>
      </c>
      <c r="K1882" s="199">
        <v>3.24</v>
      </c>
      <c r="L1882" s="199">
        <v>2.5499999999999998</v>
      </c>
    </row>
    <row r="1883" spans="1:12" x14ac:dyDescent="0.25">
      <c r="A1883" s="49">
        <v>1989</v>
      </c>
      <c r="B1883" s="330" t="s">
        <v>54</v>
      </c>
      <c r="C1883" s="331">
        <v>2521112841</v>
      </c>
      <c r="D1883" s="331">
        <v>1236939218</v>
      </c>
      <c r="E1883" s="331">
        <v>40632544</v>
      </c>
      <c r="F1883" s="331">
        <v>22991</v>
      </c>
      <c r="G1883" s="332">
        <f t="shared" si="58"/>
        <v>9.1193855451867105E-6</v>
      </c>
      <c r="H1883" s="331">
        <v>54175</v>
      </c>
      <c r="I1883" s="331">
        <v>0</v>
      </c>
      <c r="J1883" s="331">
        <f t="shared" si="59"/>
        <v>54175</v>
      </c>
      <c r="K1883" s="199">
        <v>3.28</v>
      </c>
      <c r="L1883" s="199">
        <v>2.5499999999999998</v>
      </c>
    </row>
    <row r="1884" spans="1:12" x14ac:dyDescent="0.25">
      <c r="A1884" s="49">
        <v>1990</v>
      </c>
      <c r="B1884" s="330" t="s">
        <v>54</v>
      </c>
      <c r="C1884" s="331">
        <v>2722105181</v>
      </c>
      <c r="D1884" s="331">
        <v>1292165650</v>
      </c>
      <c r="E1884" s="331">
        <v>41604857</v>
      </c>
      <c r="F1884" s="331">
        <v>19020</v>
      </c>
      <c r="G1884" s="332">
        <f t="shared" si="58"/>
        <v>6.9872391900054209E-6</v>
      </c>
      <c r="H1884" s="331">
        <v>82855</v>
      </c>
      <c r="I1884" s="331">
        <v>0</v>
      </c>
      <c r="J1884" s="331">
        <f t="shared" si="59"/>
        <v>82855</v>
      </c>
      <c r="K1884" s="199">
        <v>3.22</v>
      </c>
      <c r="L1884" s="199">
        <v>2.5499999999999998</v>
      </c>
    </row>
    <row r="1885" spans="1:12" x14ac:dyDescent="0.25">
      <c r="A1885" s="49">
        <v>1991</v>
      </c>
      <c r="B1885" s="330" t="s">
        <v>54</v>
      </c>
      <c r="C1885" s="331">
        <v>2845361248</v>
      </c>
      <c r="D1885" s="331">
        <v>1351931812</v>
      </c>
      <c r="E1885" s="331">
        <v>29891648</v>
      </c>
      <c r="F1885" s="331">
        <v>23663</v>
      </c>
      <c r="G1885" s="332">
        <f t="shared" si="58"/>
        <v>8.3163429658124031E-6</v>
      </c>
      <c r="H1885" s="331">
        <v>98952</v>
      </c>
      <c r="I1885" s="331">
        <v>0</v>
      </c>
      <c r="J1885" s="331">
        <f t="shared" si="59"/>
        <v>98952</v>
      </c>
      <c r="K1885" s="199">
        <v>2.21</v>
      </c>
      <c r="L1885" s="199">
        <v>2.5499999999999998</v>
      </c>
    </row>
    <row r="1886" spans="1:12" x14ac:dyDescent="0.25">
      <c r="A1886" s="49">
        <v>1992</v>
      </c>
      <c r="B1886" s="330" t="s">
        <v>54</v>
      </c>
      <c r="C1886" s="331">
        <v>2957447848</v>
      </c>
      <c r="D1886" s="331">
        <v>1402925236</v>
      </c>
      <c r="E1886" s="331">
        <v>30787991</v>
      </c>
      <c r="F1886" s="331">
        <v>27783</v>
      </c>
      <c r="G1886" s="332">
        <f t="shared" si="58"/>
        <v>9.3942484966517651E-6</v>
      </c>
      <c r="H1886" s="331">
        <v>109826</v>
      </c>
      <c r="I1886" s="331">
        <v>0</v>
      </c>
      <c r="J1886" s="331">
        <f t="shared" si="59"/>
        <v>109826</v>
      </c>
      <c r="K1886" s="199">
        <v>2.19</v>
      </c>
      <c r="L1886" s="199">
        <v>2.5499999999999998</v>
      </c>
    </row>
    <row r="1887" spans="1:12" x14ac:dyDescent="0.25">
      <c r="A1887" s="49">
        <v>1993</v>
      </c>
      <c r="B1887" s="330" t="s">
        <v>54</v>
      </c>
      <c r="C1887" s="331">
        <v>3122690604</v>
      </c>
      <c r="D1887" s="331">
        <v>1478341280</v>
      </c>
      <c r="E1887" s="331">
        <v>32456591</v>
      </c>
      <c r="F1887" s="331">
        <v>22535</v>
      </c>
      <c r="G1887" s="332">
        <f t="shared" si="58"/>
        <v>7.2165330664311946E-6</v>
      </c>
      <c r="H1887" s="331">
        <v>127332</v>
      </c>
      <c r="I1887" s="331">
        <v>0</v>
      </c>
      <c r="J1887" s="331">
        <f t="shared" si="59"/>
        <v>127332</v>
      </c>
      <c r="K1887" s="199">
        <v>2.2000000000000002</v>
      </c>
      <c r="L1887" s="199">
        <v>2.5499999999999998</v>
      </c>
    </row>
    <row r="1888" spans="1:12" x14ac:dyDescent="0.25">
      <c r="A1888" s="49">
        <v>1994</v>
      </c>
      <c r="B1888" s="330" t="s">
        <v>54</v>
      </c>
      <c r="C1888" s="331">
        <v>3294000748</v>
      </c>
      <c r="D1888" s="331">
        <v>1571399330</v>
      </c>
      <c r="E1888" s="331">
        <v>24397581</v>
      </c>
      <c r="F1888" s="331">
        <v>25352</v>
      </c>
      <c r="G1888" s="332">
        <f t="shared" si="58"/>
        <v>7.6964159815060251E-6</v>
      </c>
      <c r="H1888" s="331">
        <v>136755</v>
      </c>
      <c r="I1888" s="331">
        <v>0</v>
      </c>
      <c r="J1888" s="331">
        <f t="shared" si="59"/>
        <v>136755</v>
      </c>
      <c r="K1888" s="199">
        <v>1.55</v>
      </c>
      <c r="L1888" s="199">
        <v>2.5499999999999998</v>
      </c>
    </row>
    <row r="1889" spans="1:12" x14ac:dyDescent="0.25">
      <c r="A1889" s="49">
        <v>1995</v>
      </c>
      <c r="B1889" s="330" t="s">
        <v>54</v>
      </c>
      <c r="C1889" s="331">
        <v>3375392074</v>
      </c>
      <c r="D1889" s="331">
        <v>1639728912</v>
      </c>
      <c r="E1889" s="331">
        <v>24669065</v>
      </c>
      <c r="F1889" s="331">
        <v>28640</v>
      </c>
      <c r="G1889" s="332">
        <f t="shared" si="58"/>
        <v>8.4849402297909179E-6</v>
      </c>
      <c r="H1889" s="331">
        <v>142310</v>
      </c>
      <c r="I1889" s="331">
        <v>0</v>
      </c>
      <c r="J1889" s="331">
        <f t="shared" si="59"/>
        <v>142310</v>
      </c>
      <c r="K1889" s="199">
        <v>1.5</v>
      </c>
      <c r="L1889" s="199">
        <v>2.5499999999999998</v>
      </c>
    </row>
    <row r="1890" spans="1:12" x14ac:dyDescent="0.25">
      <c r="A1890" s="49">
        <v>1996</v>
      </c>
      <c r="B1890" s="330" t="s">
        <v>54</v>
      </c>
      <c r="C1890" s="331">
        <v>3493077086</v>
      </c>
      <c r="D1890" s="331">
        <v>1695081719</v>
      </c>
      <c r="E1890" s="331">
        <v>25294281</v>
      </c>
      <c r="F1890" s="331">
        <v>30162</v>
      </c>
      <c r="G1890" s="332">
        <f t="shared" si="58"/>
        <v>8.6347936954747175E-6</v>
      </c>
      <c r="H1890" s="331">
        <v>147087</v>
      </c>
      <c r="I1890" s="331">
        <v>0</v>
      </c>
      <c r="J1890" s="331">
        <f t="shared" si="59"/>
        <v>147087</v>
      </c>
      <c r="K1890" s="199">
        <v>1.49</v>
      </c>
      <c r="L1890" s="199">
        <v>2.5499999999999998</v>
      </c>
    </row>
    <row r="1891" spans="1:12" x14ac:dyDescent="0.25">
      <c r="A1891" s="49">
        <v>1997</v>
      </c>
      <c r="B1891" s="330" t="s">
        <v>54</v>
      </c>
      <c r="C1891" s="331">
        <v>3741352217</v>
      </c>
      <c r="D1891" s="331">
        <v>1784998961</v>
      </c>
      <c r="E1891" s="331">
        <v>28193877</v>
      </c>
      <c r="F1891" s="331">
        <v>25297</v>
      </c>
      <c r="G1891" s="332">
        <f t="shared" si="58"/>
        <v>6.7614591016197818E-6</v>
      </c>
      <c r="H1891" s="331">
        <v>158573</v>
      </c>
      <c r="I1891" s="331">
        <v>0</v>
      </c>
      <c r="J1891" s="331">
        <f t="shared" si="59"/>
        <v>158573</v>
      </c>
      <c r="K1891" s="199">
        <v>1.58</v>
      </c>
      <c r="L1891" s="199">
        <v>2.5499999999999998</v>
      </c>
    </row>
    <row r="1892" spans="1:12" x14ac:dyDescent="0.25">
      <c r="A1892" s="49">
        <v>1998</v>
      </c>
      <c r="B1892" s="330" t="s">
        <v>54</v>
      </c>
      <c r="C1892" s="331">
        <v>3961023210</v>
      </c>
      <c r="D1892" s="331">
        <v>1889488422</v>
      </c>
      <c r="E1892" s="331">
        <v>29187629</v>
      </c>
      <c r="F1892" s="331">
        <v>22904</v>
      </c>
      <c r="G1892" s="332">
        <f t="shared" si="58"/>
        <v>5.7823443049201424E-6</v>
      </c>
      <c r="H1892" s="331">
        <v>168259</v>
      </c>
      <c r="I1892" s="331">
        <v>0</v>
      </c>
      <c r="J1892" s="331">
        <f t="shared" si="59"/>
        <v>168259</v>
      </c>
      <c r="K1892" s="199">
        <v>1.54</v>
      </c>
      <c r="L1892" s="199">
        <v>2.5499999999999998</v>
      </c>
    </row>
    <row r="1893" spans="1:12" x14ac:dyDescent="0.25">
      <c r="A1893" s="49">
        <v>1999</v>
      </c>
      <c r="B1893" s="330" t="s">
        <v>54</v>
      </c>
      <c r="C1893" s="331">
        <v>4215488010</v>
      </c>
      <c r="D1893" s="331">
        <v>2035157980</v>
      </c>
      <c r="E1893" s="331">
        <v>29508280</v>
      </c>
      <c r="F1893" s="331">
        <v>25590</v>
      </c>
      <c r="G1893" s="332">
        <f t="shared" si="58"/>
        <v>6.0704715419176346E-6</v>
      </c>
      <c r="H1893" s="331">
        <v>175869</v>
      </c>
      <c r="I1893" s="331">
        <v>0</v>
      </c>
      <c r="J1893" s="331">
        <f t="shared" si="59"/>
        <v>175869</v>
      </c>
      <c r="K1893" s="199">
        <v>1.45</v>
      </c>
      <c r="L1893" s="199">
        <v>2.5499999999999998</v>
      </c>
    </row>
    <row r="1894" spans="1:12" x14ac:dyDescent="0.25">
      <c r="A1894" s="49">
        <v>2000</v>
      </c>
      <c r="B1894" s="330" t="s">
        <v>54</v>
      </c>
      <c r="C1894" s="331">
        <v>4555011653</v>
      </c>
      <c r="D1894" s="331">
        <v>2168269759</v>
      </c>
      <c r="E1894" s="331">
        <v>29541655</v>
      </c>
      <c r="F1894" s="331">
        <v>24764</v>
      </c>
      <c r="G1894" s="332">
        <f t="shared" si="58"/>
        <v>5.4366490991719097E-6</v>
      </c>
      <c r="H1894" s="331">
        <v>186565</v>
      </c>
      <c r="I1894" s="331">
        <v>0</v>
      </c>
      <c r="J1894" s="331">
        <f t="shared" si="59"/>
        <v>186565</v>
      </c>
      <c r="K1894" s="199">
        <v>1.36</v>
      </c>
      <c r="L1894" s="199">
        <v>2.5499999999999998</v>
      </c>
    </row>
    <row r="1895" spans="1:12" x14ac:dyDescent="0.25">
      <c r="A1895" s="49">
        <v>2001</v>
      </c>
      <c r="B1895" s="330" t="s">
        <v>54</v>
      </c>
      <c r="C1895" s="331">
        <v>4896069718</v>
      </c>
      <c r="D1895" s="331">
        <v>2362347404</v>
      </c>
      <c r="E1895" s="331">
        <v>28190826</v>
      </c>
      <c r="F1895" s="331">
        <v>25456</v>
      </c>
      <c r="G1895" s="332">
        <f t="shared" si="58"/>
        <v>5.1992723686946484E-6</v>
      </c>
      <c r="H1895" s="331">
        <v>195135</v>
      </c>
      <c r="I1895" s="331">
        <v>0</v>
      </c>
      <c r="J1895" s="331">
        <f t="shared" si="59"/>
        <v>195135</v>
      </c>
      <c r="K1895" s="199">
        <v>1.19</v>
      </c>
      <c r="L1895" s="199">
        <v>2.5499999999999998</v>
      </c>
    </row>
    <row r="1896" spans="1:12" x14ac:dyDescent="0.25">
      <c r="A1896" s="49">
        <v>2002</v>
      </c>
      <c r="B1896" s="330" t="s">
        <v>54</v>
      </c>
      <c r="C1896" s="331">
        <v>5046046534</v>
      </c>
      <c r="D1896" s="331">
        <v>2440094804</v>
      </c>
      <c r="E1896" s="331">
        <v>19545595</v>
      </c>
      <c r="F1896" s="331">
        <v>38531</v>
      </c>
      <c r="G1896" s="332">
        <f t="shared" si="58"/>
        <v>7.6358788489920013E-6</v>
      </c>
      <c r="H1896" s="331">
        <v>197699</v>
      </c>
      <c r="I1896" s="331">
        <v>0</v>
      </c>
      <c r="J1896" s="331">
        <f t="shared" si="59"/>
        <v>197699</v>
      </c>
      <c r="K1896" s="199">
        <v>0.8</v>
      </c>
      <c r="L1896" s="199">
        <v>2.5499999999999998</v>
      </c>
    </row>
    <row r="1897" spans="1:12" x14ac:dyDescent="0.25">
      <c r="A1897" s="49">
        <v>2003</v>
      </c>
      <c r="B1897" s="330" t="s">
        <v>54</v>
      </c>
      <c r="C1897" s="331">
        <v>5241820390</v>
      </c>
      <c r="D1897" s="331">
        <v>2491859734</v>
      </c>
      <c r="E1897" s="331">
        <v>20491506</v>
      </c>
      <c r="F1897" s="331">
        <v>46516</v>
      </c>
      <c r="G1897" s="332">
        <f t="shared" si="58"/>
        <v>8.8740163796417294E-6</v>
      </c>
      <c r="H1897" s="331">
        <v>177597</v>
      </c>
      <c r="I1897" s="331">
        <v>0</v>
      </c>
      <c r="J1897" s="331">
        <f t="shared" si="59"/>
        <v>177597</v>
      </c>
      <c r="K1897" s="199">
        <v>0.82</v>
      </c>
      <c r="L1897" s="199">
        <v>2.5499999999999998</v>
      </c>
    </row>
    <row r="1898" spans="1:12" x14ac:dyDescent="0.25">
      <c r="A1898" s="49">
        <v>2004</v>
      </c>
      <c r="B1898" s="330" t="s">
        <v>54</v>
      </c>
      <c r="C1898" s="331">
        <v>5649022156</v>
      </c>
      <c r="D1898" s="331">
        <v>2747279895</v>
      </c>
      <c r="E1898" s="331">
        <v>30787677</v>
      </c>
      <c r="F1898" s="331">
        <v>39814</v>
      </c>
      <c r="G1898" s="332">
        <f t="shared" si="58"/>
        <v>7.0479454497646691E-6</v>
      </c>
      <c r="H1898" s="331">
        <v>172398</v>
      </c>
      <c r="I1898" s="331">
        <v>0</v>
      </c>
      <c r="J1898" s="331">
        <f t="shared" si="59"/>
        <v>172398</v>
      </c>
      <c r="K1898" s="199">
        <v>1.1200000000000001</v>
      </c>
      <c r="L1898" s="199">
        <v>2.5499999999999998</v>
      </c>
    </row>
    <row r="1899" spans="1:12" x14ac:dyDescent="0.25">
      <c r="A1899" s="49">
        <v>2005</v>
      </c>
      <c r="B1899" s="330" t="s">
        <v>54</v>
      </c>
      <c r="C1899" s="331">
        <v>6256763625</v>
      </c>
      <c r="D1899" s="331">
        <v>3019857043</v>
      </c>
      <c r="E1899" s="331">
        <v>40634593</v>
      </c>
      <c r="F1899" s="331">
        <v>32783</v>
      </c>
      <c r="G1899" s="332">
        <f t="shared" si="58"/>
        <v>5.2396097990676452E-6</v>
      </c>
      <c r="H1899" s="331">
        <v>183966</v>
      </c>
      <c r="I1899" s="331">
        <v>0</v>
      </c>
      <c r="J1899" s="331">
        <f t="shared" si="59"/>
        <v>183966</v>
      </c>
      <c r="K1899" s="199">
        <v>1.35</v>
      </c>
      <c r="L1899" s="199">
        <v>2.5499999999999998</v>
      </c>
    </row>
    <row r="1900" spans="1:12" x14ac:dyDescent="0.25">
      <c r="A1900" s="49">
        <v>2006</v>
      </c>
      <c r="B1900" s="330" t="s">
        <v>54</v>
      </c>
      <c r="C1900" s="331">
        <v>7423095126</v>
      </c>
      <c r="D1900" s="331">
        <v>3449936232</v>
      </c>
      <c r="E1900" s="331">
        <v>57163183</v>
      </c>
      <c r="F1900" s="331">
        <v>27917</v>
      </c>
      <c r="G1900" s="332">
        <f t="shared" si="58"/>
        <v>3.7608301559033529E-6</v>
      </c>
      <c r="H1900" s="331">
        <v>216070</v>
      </c>
      <c r="I1900" s="331">
        <v>0</v>
      </c>
      <c r="J1900" s="331">
        <f t="shared" si="59"/>
        <v>216070</v>
      </c>
      <c r="K1900" s="199">
        <v>1.66</v>
      </c>
      <c r="L1900" s="199">
        <v>2.5499999999999998</v>
      </c>
    </row>
    <row r="1901" spans="1:12" x14ac:dyDescent="0.25">
      <c r="A1901" s="49">
        <v>2007</v>
      </c>
      <c r="B1901" s="330" t="s">
        <v>54</v>
      </c>
      <c r="C1901" s="331">
        <v>8304399492</v>
      </c>
      <c r="D1901" s="331">
        <v>3870299606</v>
      </c>
      <c r="E1901" s="331">
        <v>54785566</v>
      </c>
      <c r="F1901" s="331">
        <v>33901</v>
      </c>
      <c r="G1901" s="332">
        <f t="shared" si="58"/>
        <v>4.0822939735327464E-6</v>
      </c>
      <c r="H1901" s="331">
        <v>243500</v>
      </c>
      <c r="I1901" s="331">
        <v>0</v>
      </c>
      <c r="J1901" s="331">
        <f t="shared" si="59"/>
        <v>243500</v>
      </c>
      <c r="K1901" s="199">
        <v>1.42</v>
      </c>
      <c r="L1901" s="199">
        <v>2.5499999999999998</v>
      </c>
    </row>
    <row r="1902" spans="1:12" x14ac:dyDescent="0.25">
      <c r="A1902" s="49">
        <v>2008</v>
      </c>
      <c r="B1902" s="330" t="s">
        <v>54</v>
      </c>
      <c r="C1902" s="331">
        <v>9080689529</v>
      </c>
      <c r="D1902" s="331">
        <v>4357896277</v>
      </c>
      <c r="E1902" s="331">
        <v>55134967</v>
      </c>
      <c r="F1902" s="331">
        <v>49944</v>
      </c>
      <c r="G1902" s="332">
        <f t="shared" si="58"/>
        <v>5.5000228606538453E-6</v>
      </c>
      <c r="H1902" s="331">
        <v>258778</v>
      </c>
      <c r="I1902" s="331">
        <v>0</v>
      </c>
      <c r="J1902" s="331">
        <f t="shared" si="59"/>
        <v>258778</v>
      </c>
      <c r="K1902" s="199">
        <v>1.3</v>
      </c>
      <c r="L1902" s="199">
        <v>2.5499999999999998</v>
      </c>
    </row>
    <row r="1903" spans="1:12" x14ac:dyDescent="0.25">
      <c r="A1903" s="49">
        <v>2009</v>
      </c>
      <c r="B1903" s="330" t="s">
        <v>54</v>
      </c>
      <c r="C1903" s="331">
        <v>8233478915</v>
      </c>
      <c r="D1903" s="331">
        <v>4086347192</v>
      </c>
      <c r="E1903" s="331">
        <v>50181875</v>
      </c>
      <c r="F1903" s="331">
        <v>161485</v>
      </c>
      <c r="G1903" s="332">
        <f t="shared" si="58"/>
        <v>1.9613215952469587E-5</v>
      </c>
      <c r="H1903" s="331">
        <v>155048</v>
      </c>
      <c r="I1903" s="331">
        <v>0</v>
      </c>
      <c r="J1903" s="331">
        <f t="shared" si="59"/>
        <v>155048</v>
      </c>
      <c r="K1903" s="199">
        <v>1.2</v>
      </c>
      <c r="L1903" s="199">
        <v>1.26</v>
      </c>
    </row>
    <row r="1904" spans="1:12" x14ac:dyDescent="0.25">
      <c r="A1904" s="49">
        <v>2010</v>
      </c>
      <c r="B1904" s="330" t="s">
        <v>54</v>
      </c>
      <c r="C1904" s="331">
        <v>8359857037</v>
      </c>
      <c r="D1904" s="331">
        <v>4233274361</v>
      </c>
      <c r="E1904" s="331">
        <v>100258033</v>
      </c>
      <c r="F1904" s="331">
        <v>119783</v>
      </c>
      <c r="G1904" s="332">
        <f t="shared" si="58"/>
        <v>1.4328355074716094E-5</v>
      </c>
      <c r="H1904" s="331">
        <v>124298</v>
      </c>
      <c r="I1904" s="331">
        <v>0</v>
      </c>
      <c r="J1904" s="331">
        <f t="shared" si="59"/>
        <v>124298</v>
      </c>
      <c r="K1904" s="199">
        <v>2.4</v>
      </c>
      <c r="L1904" s="199">
        <v>1.44</v>
      </c>
    </row>
    <row r="1905" spans="1:12" x14ac:dyDescent="0.25">
      <c r="A1905" s="49">
        <v>2011</v>
      </c>
      <c r="B1905" s="330" t="s">
        <v>54</v>
      </c>
      <c r="C1905" s="331">
        <v>8854942172</v>
      </c>
      <c r="D1905" s="331">
        <v>4314936013</v>
      </c>
      <c r="E1905" s="331">
        <v>129135817</v>
      </c>
      <c r="F1905" s="331">
        <v>86415</v>
      </c>
      <c r="G1905" s="332">
        <f t="shared" si="58"/>
        <v>9.7589570119668086E-6</v>
      </c>
      <c r="H1905" s="331">
        <v>158889</v>
      </c>
      <c r="I1905" s="331">
        <v>0</v>
      </c>
      <c r="J1905" s="331">
        <f t="shared" si="59"/>
        <v>158889</v>
      </c>
      <c r="K1905" s="199">
        <v>3</v>
      </c>
      <c r="L1905" s="199">
        <v>1.46</v>
      </c>
    </row>
    <row r="1906" spans="1:12" x14ac:dyDescent="0.25">
      <c r="A1906" s="49">
        <v>2012</v>
      </c>
      <c r="B1906" s="330" t="s">
        <v>54</v>
      </c>
      <c r="C1906" s="331">
        <v>9286981744</v>
      </c>
      <c r="D1906" s="331">
        <v>4498211944</v>
      </c>
      <c r="E1906" s="331">
        <v>145106869</v>
      </c>
      <c r="F1906" s="331">
        <v>77425</v>
      </c>
      <c r="G1906" s="332">
        <f t="shared" si="58"/>
        <v>8.3369389683598362E-6</v>
      </c>
      <c r="H1906" s="331">
        <v>221722</v>
      </c>
      <c r="I1906" s="331">
        <v>0</v>
      </c>
      <c r="J1906" s="331">
        <f t="shared" si="59"/>
        <v>221722</v>
      </c>
      <c r="K1906" s="199">
        <v>3.23</v>
      </c>
      <c r="L1906" s="199">
        <v>1.46</v>
      </c>
    </row>
    <row r="1907" spans="1:12" x14ac:dyDescent="0.25">
      <c r="A1907" s="49">
        <v>2013</v>
      </c>
      <c r="B1907" s="330" t="s">
        <v>54</v>
      </c>
      <c r="C1907" s="331">
        <v>9418966156</v>
      </c>
      <c r="D1907" s="331">
        <v>4622959689</v>
      </c>
      <c r="E1907" s="331">
        <v>141289382</v>
      </c>
      <c r="F1907" s="331">
        <v>75174</v>
      </c>
      <c r="G1907" s="332">
        <f t="shared" si="58"/>
        <v>7.9811307053177191E-6</v>
      </c>
      <c r="H1907" s="331">
        <v>289461</v>
      </c>
      <c r="I1907" s="331">
        <v>0</v>
      </c>
      <c r="J1907" s="331">
        <f t="shared" si="59"/>
        <v>289461</v>
      </c>
      <c r="K1907" s="199">
        <v>3.06</v>
      </c>
      <c r="L1907" s="199">
        <v>1.46</v>
      </c>
    </row>
    <row r="1908" spans="1:12" x14ac:dyDescent="0.25">
      <c r="A1908" s="49">
        <v>2014</v>
      </c>
      <c r="B1908" s="330" t="s">
        <v>54</v>
      </c>
      <c r="C1908" s="331">
        <v>10009528602</v>
      </c>
      <c r="D1908" s="331">
        <v>4955071122</v>
      </c>
      <c r="E1908" s="331">
        <v>118624328</v>
      </c>
      <c r="F1908" s="331">
        <v>56027</v>
      </c>
      <c r="G1908" s="332">
        <f t="shared" si="58"/>
        <v>5.5973664922447264E-6</v>
      </c>
      <c r="H1908" s="331">
        <v>351558</v>
      </c>
      <c r="I1908" s="331">
        <v>0</v>
      </c>
      <c r="J1908" s="331">
        <f t="shared" si="59"/>
        <v>351558</v>
      </c>
      <c r="K1908" s="333">
        <v>2.3939984932470559</v>
      </c>
      <c r="L1908" s="199">
        <v>1.46</v>
      </c>
    </row>
    <row r="1909" spans="1:12" x14ac:dyDescent="0.25">
      <c r="A1909" s="49">
        <v>2015</v>
      </c>
      <c r="B1909" s="330" t="s">
        <v>54</v>
      </c>
      <c r="C1909" s="334">
        <v>9781295000</v>
      </c>
      <c r="D1909" s="334">
        <v>4920844000</v>
      </c>
      <c r="E1909" s="334">
        <v>71708000</v>
      </c>
      <c r="F1909" s="331">
        <v>86397</v>
      </c>
      <c r="G1909" s="332">
        <f t="shared" si="58"/>
        <v>8.8328794909058565E-6</v>
      </c>
      <c r="H1909" s="331">
        <v>345994</v>
      </c>
      <c r="I1909" s="199">
        <v>0</v>
      </c>
      <c r="J1909" s="331">
        <f t="shared" si="59"/>
        <v>345994</v>
      </c>
      <c r="K1909" s="199">
        <v>1.4</v>
      </c>
      <c r="L1909" s="199">
        <v>1.46</v>
      </c>
    </row>
  </sheetData>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59999389629810485"/>
  </sheetPr>
  <dimension ref="A1:O53"/>
  <sheetViews>
    <sheetView workbookViewId="0">
      <selection sqref="A1:XFD1048576"/>
    </sheetView>
  </sheetViews>
  <sheetFormatPr defaultRowHeight="15" x14ac:dyDescent="0.25"/>
  <cols>
    <col min="1" max="1" width="3" style="50" bestFit="1" customWidth="1"/>
    <col min="2" max="2" width="4.140625" style="50" bestFit="1" customWidth="1"/>
    <col min="3" max="3" width="21.85546875" style="50" bestFit="1" customWidth="1"/>
    <col min="4" max="4" width="3" style="50" bestFit="1" customWidth="1"/>
    <col min="5" max="5" width="5" style="50" bestFit="1" customWidth="1"/>
    <col min="6" max="7" width="3" style="50" bestFit="1" customWidth="1"/>
    <col min="8" max="8" width="22.140625" style="50" bestFit="1" customWidth="1"/>
    <col min="9" max="9" width="13.85546875" style="50" bestFit="1" customWidth="1"/>
    <col min="10" max="10" width="5" style="50" bestFit="1" customWidth="1"/>
    <col min="11" max="11" width="3" style="50" bestFit="1" customWidth="1"/>
    <col min="12" max="12" width="27.5703125" style="50" bestFit="1" customWidth="1"/>
    <col min="13" max="13" width="12.7109375" style="50" bestFit="1" customWidth="1"/>
    <col min="14" max="14" width="13.85546875" style="50" bestFit="1" customWidth="1"/>
    <col min="15" max="16384" width="9.140625" style="50"/>
  </cols>
  <sheetData>
    <row r="1" spans="1:15" ht="15.75" thickBot="1" x14ac:dyDescent="0.3">
      <c r="A1" s="49">
        <v>1</v>
      </c>
      <c r="B1" s="50" t="s">
        <v>2</v>
      </c>
      <c r="C1" s="50" t="s">
        <v>62</v>
      </c>
      <c r="D1" s="49">
        <v>1</v>
      </c>
      <c r="E1" s="49">
        <v>2000</v>
      </c>
      <c r="F1" s="49">
        <v>1</v>
      </c>
      <c r="G1" s="49">
        <v>5</v>
      </c>
      <c r="H1" s="336" t="s">
        <v>117</v>
      </c>
      <c r="I1" s="337">
        <v>53</v>
      </c>
      <c r="J1" s="338">
        <v>6</v>
      </c>
      <c r="K1" s="339">
        <v>17</v>
      </c>
    </row>
    <row r="2" spans="1:15" x14ac:dyDescent="0.25">
      <c r="A2" s="49">
        <v>2</v>
      </c>
      <c r="B2" s="50" t="s">
        <v>3</v>
      </c>
      <c r="C2" s="50" t="s">
        <v>63</v>
      </c>
      <c r="D2" s="49">
        <v>2</v>
      </c>
      <c r="E2" s="49">
        <v>2001</v>
      </c>
      <c r="F2" s="49">
        <v>2</v>
      </c>
      <c r="G2" s="49">
        <v>6</v>
      </c>
      <c r="H2" s="340" t="s">
        <v>118</v>
      </c>
      <c r="I2" s="341" t="str">
        <f t="array" ref="I2">INDEX($B$1:$B$53,MATCH($I$1,$A$1:$A$53,0))</f>
        <v>WY</v>
      </c>
    </row>
    <row r="3" spans="1:15" x14ac:dyDescent="0.25">
      <c r="A3" s="49">
        <v>3</v>
      </c>
      <c r="B3" s="50" t="s">
        <v>4</v>
      </c>
      <c r="C3" s="50" t="s">
        <v>64</v>
      </c>
      <c r="D3" s="49">
        <v>3</v>
      </c>
      <c r="E3" s="49">
        <v>2002</v>
      </c>
      <c r="F3" s="49">
        <v>3</v>
      </c>
      <c r="G3" s="49">
        <v>7</v>
      </c>
      <c r="H3" s="342" t="s">
        <v>116</v>
      </c>
      <c r="I3" s="343">
        <f t="array" ref="I3">INDEX($E$1:$E$17,MATCH($K$1,$D$1:$D$26,0))</f>
        <v>2016</v>
      </c>
    </row>
    <row r="4" spans="1:15" x14ac:dyDescent="0.25">
      <c r="A4" s="49">
        <v>4</v>
      </c>
      <c r="B4" s="50" t="s">
        <v>5</v>
      </c>
      <c r="C4" s="50" t="s">
        <v>65</v>
      </c>
      <c r="D4" s="49">
        <v>4</v>
      </c>
      <c r="E4" s="49">
        <v>2003</v>
      </c>
      <c r="F4" s="49">
        <v>4</v>
      </c>
      <c r="G4" s="49">
        <v>8</v>
      </c>
      <c r="H4" s="342" t="s">
        <v>115</v>
      </c>
      <c r="I4" s="343">
        <f t="array" ref="I4">INDEX($G$1:$G$17,MATCH(J1,$F$1:$F$17,0))</f>
        <v>10</v>
      </c>
      <c r="J4" s="49">
        <f>I3-I4</f>
        <v>2006</v>
      </c>
    </row>
    <row r="5" spans="1:15" x14ac:dyDescent="0.25">
      <c r="A5" s="49">
        <v>5</v>
      </c>
      <c r="B5" s="50" t="s">
        <v>6</v>
      </c>
      <c r="C5" s="50" t="s">
        <v>66</v>
      </c>
      <c r="D5" s="49">
        <v>5</v>
      </c>
      <c r="E5" s="49">
        <v>2004</v>
      </c>
      <c r="F5" s="49">
        <v>5</v>
      </c>
      <c r="G5" s="49">
        <v>9</v>
      </c>
      <c r="H5" s="342" t="s">
        <v>225</v>
      </c>
      <c r="I5" s="344">
        <f>'AFR Calculator'!I12</f>
        <v>1</v>
      </c>
    </row>
    <row r="6" spans="1:15" ht="15.75" thickBot="1" x14ac:dyDescent="0.3">
      <c r="A6" s="49">
        <v>6</v>
      </c>
      <c r="B6" s="50" t="s">
        <v>7</v>
      </c>
      <c r="C6" s="50" t="s">
        <v>67</v>
      </c>
      <c r="D6" s="49">
        <v>6</v>
      </c>
      <c r="E6" s="49">
        <v>2005</v>
      </c>
      <c r="F6" s="49">
        <v>6</v>
      </c>
      <c r="G6" s="49">
        <v>10</v>
      </c>
      <c r="H6" s="345" t="s">
        <v>224</v>
      </c>
      <c r="I6" s="346">
        <f>'AFR Calculator'!I15</f>
        <v>1.5</v>
      </c>
    </row>
    <row r="7" spans="1:15" x14ac:dyDescent="0.25">
      <c r="A7" s="49">
        <v>7</v>
      </c>
      <c r="B7" s="50" t="s">
        <v>8</v>
      </c>
      <c r="C7" s="50" t="s">
        <v>68</v>
      </c>
      <c r="D7" s="49">
        <v>7</v>
      </c>
      <c r="E7" s="49">
        <v>2006</v>
      </c>
      <c r="F7" s="49">
        <v>7</v>
      </c>
      <c r="G7" s="49">
        <v>11</v>
      </c>
    </row>
    <row r="8" spans="1:15" x14ac:dyDescent="0.25">
      <c r="A8" s="49">
        <v>8</v>
      </c>
      <c r="B8" s="50" t="s">
        <v>9</v>
      </c>
      <c r="C8" s="50" t="s">
        <v>69</v>
      </c>
      <c r="D8" s="49">
        <v>8</v>
      </c>
      <c r="E8" s="49">
        <v>2007</v>
      </c>
      <c r="F8" s="49">
        <v>8</v>
      </c>
      <c r="G8" s="49">
        <v>12</v>
      </c>
      <c r="H8" s="347" t="s">
        <v>223</v>
      </c>
      <c r="I8" s="348"/>
      <c r="J8" s="348"/>
      <c r="K8" s="348"/>
      <c r="L8" s="348"/>
      <c r="M8" s="348"/>
      <c r="N8" s="349" t="s">
        <v>222</v>
      </c>
      <c r="O8" s="350"/>
    </row>
    <row r="9" spans="1:15" x14ac:dyDescent="0.25">
      <c r="A9" s="49">
        <v>9</v>
      </c>
      <c r="B9" s="50" t="s">
        <v>10</v>
      </c>
      <c r="C9" s="50" t="s">
        <v>70</v>
      </c>
      <c r="D9" s="49">
        <v>9</v>
      </c>
      <c r="E9" s="49">
        <v>2008</v>
      </c>
      <c r="F9" s="49">
        <v>9</v>
      </c>
      <c r="G9" s="49">
        <v>13</v>
      </c>
      <c r="H9" s="351"/>
      <c r="I9" s="352"/>
      <c r="J9" s="352"/>
      <c r="K9" s="352"/>
      <c r="L9" s="353" t="str">
        <f>"RR ("&amp;(I3-1)&amp;"):"</f>
        <v>RR (2015):</v>
      </c>
      <c r="M9" s="354">
        <f>M15/M12*100</f>
        <v>3.5373025759881487</v>
      </c>
      <c r="N9" s="354">
        <f>M9/M10</f>
        <v>2.4228099835535266</v>
      </c>
      <c r="O9" s="355"/>
    </row>
    <row r="10" spans="1:15" x14ac:dyDescent="0.25">
      <c r="A10" s="49">
        <v>10</v>
      </c>
      <c r="B10" s="50" t="s">
        <v>11</v>
      </c>
      <c r="C10" s="50" t="s">
        <v>71</v>
      </c>
      <c r="D10" s="49">
        <v>10</v>
      </c>
      <c r="E10" s="49">
        <v>2009</v>
      </c>
      <c r="F10" s="49">
        <v>10</v>
      </c>
      <c r="G10" s="49">
        <v>14</v>
      </c>
      <c r="H10" s="356" t="s">
        <v>264</v>
      </c>
      <c r="I10" s="357">
        <f t="array" ref="I10">SUMIFS('AFR DATA'!$F$2:$F$1856,'AFR DATA'!$B$2:$B$1856,"="&amp;'AFR Calculation'!$I$2,'AFR DATA'!$A$2:$A$1856,"&lt;"&amp;'AFR Calculation'!$I$3,'AFR DATA'!$A$2:$A$1856,"&gt;="&amp;'AFR Calculation'!$J$4)</f>
        <v>0</v>
      </c>
      <c r="J10" s="352"/>
      <c r="K10" s="352"/>
      <c r="L10" s="353" t="str">
        <f>"AHCR ("&amp;(I3-1)&amp;"):"</f>
        <v>AHCR (2015):</v>
      </c>
      <c r="M10" s="330">
        <f t="array" ref="M10">INDEX('AFR DATA'!$L$2:$L$1909,MATCH('AFR Calculation'!$I$2&amp;('AFR Calculation'!$I$3-1),'AFR DATA'!$B$2:$B$1909&amp;'AFR DATA'!$A$2:$A$1909,0))</f>
        <v>1.46</v>
      </c>
      <c r="N10" s="330" t="s">
        <v>125</v>
      </c>
      <c r="O10" s="355"/>
    </row>
    <row r="11" spans="1:15" x14ac:dyDescent="0.25">
      <c r="A11" s="49">
        <v>11</v>
      </c>
      <c r="B11" s="50" t="s">
        <v>12</v>
      </c>
      <c r="C11" s="50" t="s">
        <v>72</v>
      </c>
      <c r="D11" s="49">
        <v>11</v>
      </c>
      <c r="E11" s="49">
        <v>2010</v>
      </c>
      <c r="F11" s="49">
        <v>11</v>
      </c>
      <c r="G11" s="49">
        <v>15</v>
      </c>
      <c r="H11" s="356" t="s">
        <v>124</v>
      </c>
      <c r="I11" s="357">
        <f t="array" ref="I11">SUMIFS('AFR DATA'!$D$2:$D$1856,'AFR DATA'!$B$2:$B$1856,"="&amp;'AFR Calculation'!$I$2,'AFR DATA'!$A$2:$A$1856,"&lt;"&amp;'AFR Calculation'!$I$3,'AFR DATA'!$A$2:$A$1856,"&gt;="&amp;'AFR Calculation'!$J$4)/1000</f>
        <v>0</v>
      </c>
      <c r="J11" s="352"/>
      <c r="K11" s="352"/>
      <c r="L11" s="353" t="str">
        <f>"TAX WAGES (000) ("&amp;(I3-1)&amp;"):"</f>
        <v>TAX WAGES (000) (2015):</v>
      </c>
      <c r="M11" s="358">
        <f t="array" ref="M11">INDEX('AFR DATA'!$D$2:$D$1909,MATCH('AFR Calculation'!$I$2&amp;('AFR Calculation'!$I$3-1),'AFR DATA'!$B$2:$B$1909&amp;'AFR DATA'!$A$2:$A$1909,0))/1000</f>
        <v>4920844</v>
      </c>
      <c r="N11" s="352"/>
      <c r="O11" s="355"/>
    </row>
    <row r="12" spans="1:15" x14ac:dyDescent="0.25">
      <c r="A12" s="49">
        <v>12</v>
      </c>
      <c r="B12" s="50" t="s">
        <v>13</v>
      </c>
      <c r="C12" s="50" t="s">
        <v>73</v>
      </c>
      <c r="D12" s="49">
        <v>12</v>
      </c>
      <c r="E12" s="49">
        <v>2011</v>
      </c>
      <c r="F12" s="49">
        <v>12</v>
      </c>
      <c r="G12" s="49">
        <v>16</v>
      </c>
      <c r="H12" s="359" t="s">
        <v>265</v>
      </c>
      <c r="I12" s="360">
        <f>((SUMIFS('AFR DATA'!$G$2:$G$1909,'AFR DATA'!$B$2:$B$1909,"="&amp;'AFR Calculation'!$I$2,'AFR DATA'!$A$2:$A$1909,"&lt;"&amp;'AFR Calculation'!$I$3,'AFR DATA'!$A$2:$A$1909,"&gt;="&amp;'AFR Calculation'!$J$4)/$I$4)*1000)*M12/M11</f>
        <v>1.7450651951935656E-2</v>
      </c>
      <c r="K12" s="352"/>
      <c r="L12" s="353" t="str">
        <f>"TOT WAGES (000) ("&amp;(I3-1)&amp;"):"</f>
        <v>TOT WAGES (000) (2015):</v>
      </c>
      <c r="M12" s="358">
        <f t="array" ref="M12">INDEX('AFR DATA'!$C$2:$C$1909,MATCH('AFR Calculation'!$I$2&amp;('AFR Calculation'!$I$3-1),'AFR DATA'!$B$2:$B$1909&amp;'AFR DATA'!$A$2:$A$1909,0))/1000</f>
        <v>9781295</v>
      </c>
      <c r="N12" s="352"/>
      <c r="O12" s="355"/>
    </row>
    <row r="13" spans="1:15" x14ac:dyDescent="0.25">
      <c r="A13" s="49">
        <v>13</v>
      </c>
      <c r="B13" s="50" t="s">
        <v>14</v>
      </c>
      <c r="C13" s="50" t="s">
        <v>74</v>
      </c>
      <c r="D13" s="49">
        <v>13</v>
      </c>
      <c r="E13" s="49">
        <v>2012</v>
      </c>
      <c r="F13" s="49">
        <v>13</v>
      </c>
      <c r="G13" s="49">
        <v>17</v>
      </c>
      <c r="H13" s="359" t="s">
        <v>122</v>
      </c>
      <c r="I13" s="361">
        <f>I12</f>
        <v>1.7450651951935656E-2</v>
      </c>
      <c r="J13" s="362"/>
      <c r="K13" s="352"/>
      <c r="L13" s="353" t="str">
        <f>"CONTRIBUTIONS (000) ("&amp;(I3-1)&amp;"):"</f>
        <v>CONTRIBUTIONS (000) (2015):</v>
      </c>
      <c r="M13" s="358">
        <f t="array" ref="M13">INDEX('AFR DATA'!$E$2:$E$1909,MATCH('AFR Calculation'!$I$2&amp;('AFR Calculation'!$I$3-1),'AFR DATA'!$B$2:$B$1909&amp;'AFR DATA'!$A$2:$A$1909,0))/1000</f>
        <v>71708</v>
      </c>
      <c r="N13" s="352"/>
      <c r="O13" s="355"/>
    </row>
    <row r="14" spans="1:15" x14ac:dyDescent="0.25">
      <c r="A14" s="49">
        <v>14</v>
      </c>
      <c r="B14" s="50" t="s">
        <v>15</v>
      </c>
      <c r="C14" s="50" t="s">
        <v>75</v>
      </c>
      <c r="D14" s="49">
        <v>14</v>
      </c>
      <c r="E14" s="49">
        <v>2013</v>
      </c>
      <c r="F14" s="49">
        <v>14</v>
      </c>
      <c r="G14" s="49">
        <v>18</v>
      </c>
      <c r="H14" s="359" t="s">
        <v>221</v>
      </c>
      <c r="I14" s="363">
        <f>+IF((N14-M15)&gt;0,MAX((((N14-M15)/5)/(M11)),0.001),IF((N16-M15)&lt;0,(N16-M15)/5)/(M11))</f>
        <v>-5.3561396987996382E-3</v>
      </c>
      <c r="J14" s="352"/>
      <c r="K14" s="352"/>
      <c r="L14" s="364" t="str">
        <f>"TF NEEDED FOR "&amp;I5&amp;" AHCM:"</f>
        <v>TF NEEDED FOR 1 AHCM:</v>
      </c>
      <c r="M14" s="365">
        <f>+(M10/100)*M11*I5</f>
        <v>71844.322400000005</v>
      </c>
      <c r="N14" s="354">
        <f>+(M10/100)*M12*I5</f>
        <v>142806.90700000001</v>
      </c>
      <c r="O14" s="355"/>
    </row>
    <row r="15" spans="1:15" x14ac:dyDescent="0.25">
      <c r="A15" s="49">
        <v>15</v>
      </c>
      <c r="B15" s="50" t="s">
        <v>16</v>
      </c>
      <c r="C15" s="50" t="s">
        <v>76</v>
      </c>
      <c r="D15" s="49">
        <v>15</v>
      </c>
      <c r="E15" s="49">
        <v>2014</v>
      </c>
      <c r="F15" s="49">
        <v>15</v>
      </c>
      <c r="G15" s="49">
        <v>19</v>
      </c>
      <c r="H15" s="359" t="s">
        <v>220</v>
      </c>
      <c r="I15" s="361">
        <f>I14</f>
        <v>-5.3561396987996382E-3</v>
      </c>
      <c r="J15" s="352"/>
      <c r="K15" s="352"/>
      <c r="L15" s="353" t="str">
        <f>"TF BAL ("&amp;(I3-1)&amp;"):"</f>
        <v>TF BAL (2015):</v>
      </c>
      <c r="M15" s="358">
        <f t="array" ref="M15">INDEX('AFR DATA'!$J$2:$J$1909,MATCH('AFR Calculation'!$I$2&amp;('AFR Calculation'!$I$3-1),'AFR DATA'!$B$2:$B$1909&amp;'AFR DATA'!$A$2:$A$1909,0))</f>
        <v>345994</v>
      </c>
      <c r="N15" s="354"/>
      <c r="O15" s="355"/>
    </row>
    <row r="16" spans="1:15" x14ac:dyDescent="0.25">
      <c r="A16" s="49">
        <v>16</v>
      </c>
      <c r="B16" s="50" t="s">
        <v>17</v>
      </c>
      <c r="C16" s="50" t="s">
        <v>77</v>
      </c>
      <c r="D16" s="49">
        <v>16</v>
      </c>
      <c r="E16" s="49">
        <v>2015</v>
      </c>
      <c r="F16" s="49">
        <v>16</v>
      </c>
      <c r="G16" s="49">
        <v>20</v>
      </c>
      <c r="H16" s="359"/>
      <c r="I16" s="361"/>
      <c r="J16" s="352"/>
      <c r="K16" s="352"/>
      <c r="L16" s="353" t="str">
        <f>"UPPER LIMIT AHCM ("&amp;(I3-1)&amp;"):"</f>
        <v>UPPER LIMIT AHCM (2015):</v>
      </c>
      <c r="M16" s="365">
        <f>I6*(M10/100)*M11</f>
        <v>107766.48359999999</v>
      </c>
      <c r="N16" s="354">
        <f>I6*(M10/100)*M12</f>
        <v>214210.36049999998</v>
      </c>
      <c r="O16" s="355"/>
    </row>
    <row r="17" spans="1:15" x14ac:dyDescent="0.25">
      <c r="A17" s="49">
        <v>17</v>
      </c>
      <c r="B17" s="50" t="s">
        <v>18</v>
      </c>
      <c r="C17" s="50" t="s">
        <v>78</v>
      </c>
      <c r="D17" s="49">
        <v>17</v>
      </c>
      <c r="E17" s="49">
        <v>2016</v>
      </c>
      <c r="F17" s="49">
        <v>17</v>
      </c>
      <c r="G17" s="49">
        <v>21</v>
      </c>
      <c r="H17" s="359"/>
      <c r="I17" s="361"/>
      <c r="J17" s="352"/>
      <c r="K17" s="352"/>
      <c r="L17" s="353" t="s">
        <v>219</v>
      </c>
      <c r="M17" s="361">
        <f>M13/M11</f>
        <v>1.457229694743422E-2</v>
      </c>
      <c r="N17" s="352"/>
      <c r="O17" s="355"/>
    </row>
    <row r="18" spans="1:15" x14ac:dyDescent="0.25">
      <c r="A18" s="49">
        <v>18</v>
      </c>
      <c r="B18" s="50" t="s">
        <v>19</v>
      </c>
      <c r="C18" s="50" t="s">
        <v>79</v>
      </c>
      <c r="D18" s="49"/>
      <c r="F18" s="49"/>
      <c r="H18" s="351"/>
      <c r="I18" s="352"/>
      <c r="J18" s="352"/>
      <c r="K18" s="352"/>
      <c r="L18" s="352"/>
      <c r="M18" s="352"/>
      <c r="N18" s="352"/>
      <c r="O18" s="355"/>
    </row>
    <row r="19" spans="1:15" x14ac:dyDescent="0.25">
      <c r="A19" s="49">
        <v>19</v>
      </c>
      <c r="B19" s="50" t="s">
        <v>20</v>
      </c>
      <c r="C19" s="50" t="s">
        <v>80</v>
      </c>
      <c r="D19" s="49"/>
      <c r="F19" s="49"/>
      <c r="H19" s="351"/>
      <c r="I19" s="352"/>
      <c r="J19" s="352"/>
      <c r="K19" s="352"/>
      <c r="L19" s="353" t="s">
        <v>218</v>
      </c>
      <c r="M19" s="361">
        <f>MIN((I13+I15),((1+200%)*M17))</f>
        <v>1.2094512253136017E-2</v>
      </c>
      <c r="N19" s="352"/>
      <c r="O19" s="355"/>
    </row>
    <row r="20" spans="1:15" x14ac:dyDescent="0.25">
      <c r="A20" s="49">
        <v>20</v>
      </c>
      <c r="B20" s="50" t="s">
        <v>21</v>
      </c>
      <c r="C20" s="50" t="s">
        <v>81</v>
      </c>
      <c r="D20" s="49"/>
      <c r="F20" s="49"/>
      <c r="H20" s="351"/>
      <c r="I20" s="352"/>
      <c r="J20" s="352"/>
      <c r="K20" s="352"/>
      <c r="L20" s="352"/>
      <c r="M20" s="330"/>
      <c r="N20" s="352"/>
      <c r="O20" s="355"/>
    </row>
    <row r="21" spans="1:15" x14ac:dyDescent="0.25">
      <c r="A21" s="49">
        <v>21</v>
      </c>
      <c r="B21" s="50" t="s">
        <v>22</v>
      </c>
      <c r="C21" s="50" t="s">
        <v>82</v>
      </c>
      <c r="D21" s="49"/>
      <c r="F21" s="49"/>
      <c r="H21" s="366"/>
      <c r="I21" s="367"/>
      <c r="J21" s="367"/>
      <c r="K21" s="367"/>
      <c r="L21" s="367"/>
      <c r="M21" s="367"/>
      <c r="N21" s="367"/>
      <c r="O21" s="368"/>
    </row>
    <row r="22" spans="1:15" x14ac:dyDescent="0.25">
      <c r="A22" s="49">
        <v>22</v>
      </c>
      <c r="B22" s="50" t="s">
        <v>23</v>
      </c>
      <c r="C22" s="50" t="s">
        <v>83</v>
      </c>
      <c r="D22" s="49"/>
      <c r="F22" s="49"/>
    </row>
    <row r="23" spans="1:15" x14ac:dyDescent="0.25">
      <c r="A23" s="49">
        <v>23</v>
      </c>
      <c r="B23" s="50" t="s">
        <v>24</v>
      </c>
      <c r="C23" s="50" t="s">
        <v>84</v>
      </c>
      <c r="D23" s="49"/>
      <c r="F23" s="49"/>
    </row>
    <row r="24" spans="1:15" x14ac:dyDescent="0.25">
      <c r="A24" s="49">
        <v>24</v>
      </c>
      <c r="B24" s="50" t="s">
        <v>25</v>
      </c>
      <c r="C24" s="50" t="s">
        <v>85</v>
      </c>
      <c r="D24" s="49"/>
      <c r="F24" s="49"/>
      <c r="H24" s="369"/>
    </row>
    <row r="25" spans="1:15" x14ac:dyDescent="0.25">
      <c r="A25" s="49">
        <v>25</v>
      </c>
      <c r="B25" s="50" t="s">
        <v>26</v>
      </c>
      <c r="C25" s="50" t="s">
        <v>86</v>
      </c>
      <c r="D25" s="49"/>
      <c r="F25" s="49"/>
      <c r="H25" s="369"/>
      <c r="I25" s="49"/>
      <c r="J25" s="369"/>
    </row>
    <row r="26" spans="1:15" x14ac:dyDescent="0.25">
      <c r="A26" s="49">
        <v>26</v>
      </c>
      <c r="B26" s="50" t="s">
        <v>27</v>
      </c>
      <c r="C26" s="50" t="s">
        <v>87</v>
      </c>
      <c r="D26" s="49"/>
      <c r="F26" s="49"/>
      <c r="H26" s="221"/>
      <c r="J26" s="369"/>
    </row>
    <row r="27" spans="1:15" x14ac:dyDescent="0.25">
      <c r="A27" s="49">
        <v>27</v>
      </c>
      <c r="B27" s="50" t="s">
        <v>28</v>
      </c>
      <c r="C27" s="50" t="s">
        <v>88</v>
      </c>
      <c r="H27" s="221"/>
      <c r="J27" s="369"/>
    </row>
    <row r="28" spans="1:15" x14ac:dyDescent="0.25">
      <c r="A28" s="49">
        <v>28</v>
      </c>
      <c r="B28" s="50" t="s">
        <v>29</v>
      </c>
      <c r="C28" s="50" t="s">
        <v>89</v>
      </c>
      <c r="H28" s="369"/>
    </row>
    <row r="29" spans="1:15" x14ac:dyDescent="0.25">
      <c r="A29" s="49">
        <v>29</v>
      </c>
      <c r="B29" s="50" t="s">
        <v>30</v>
      </c>
      <c r="C29" s="50" t="s">
        <v>90</v>
      </c>
      <c r="H29" s="369"/>
      <c r="J29" s="369"/>
    </row>
    <row r="30" spans="1:15" x14ac:dyDescent="0.25">
      <c r="A30" s="49">
        <v>30</v>
      </c>
      <c r="B30" s="50" t="s">
        <v>31</v>
      </c>
      <c r="C30" s="50" t="s">
        <v>91</v>
      </c>
      <c r="G30" s="369"/>
      <c r="H30" s="369"/>
      <c r="I30" s="369"/>
      <c r="J30" s="369"/>
    </row>
    <row r="31" spans="1:15" x14ac:dyDescent="0.25">
      <c r="A31" s="49">
        <v>31</v>
      </c>
      <c r="B31" s="50" t="s">
        <v>32</v>
      </c>
      <c r="C31" s="50" t="s">
        <v>92</v>
      </c>
    </row>
    <row r="32" spans="1:15" x14ac:dyDescent="0.25">
      <c r="A32" s="49">
        <v>32</v>
      </c>
      <c r="B32" s="50" t="s">
        <v>33</v>
      </c>
      <c r="C32" s="50" t="s">
        <v>93</v>
      </c>
    </row>
    <row r="33" spans="1:3" x14ac:dyDescent="0.25">
      <c r="A33" s="49">
        <v>33</v>
      </c>
      <c r="B33" s="50" t="s">
        <v>34</v>
      </c>
      <c r="C33" s="50" t="s">
        <v>94</v>
      </c>
    </row>
    <row r="34" spans="1:3" x14ac:dyDescent="0.25">
      <c r="A34" s="49">
        <v>34</v>
      </c>
      <c r="B34" s="50" t="s">
        <v>35</v>
      </c>
      <c r="C34" s="50" t="s">
        <v>95</v>
      </c>
    </row>
    <row r="35" spans="1:3" x14ac:dyDescent="0.25">
      <c r="A35" s="49">
        <v>35</v>
      </c>
      <c r="B35" s="50" t="s">
        <v>36</v>
      </c>
      <c r="C35" s="50" t="s">
        <v>96</v>
      </c>
    </row>
    <row r="36" spans="1:3" x14ac:dyDescent="0.25">
      <c r="A36" s="49">
        <v>36</v>
      </c>
      <c r="B36" s="50" t="s">
        <v>37</v>
      </c>
      <c r="C36" s="50" t="s">
        <v>97</v>
      </c>
    </row>
    <row r="37" spans="1:3" x14ac:dyDescent="0.25">
      <c r="A37" s="49">
        <v>37</v>
      </c>
      <c r="B37" s="50" t="s">
        <v>38</v>
      </c>
      <c r="C37" s="50" t="s">
        <v>98</v>
      </c>
    </row>
    <row r="38" spans="1:3" x14ac:dyDescent="0.25">
      <c r="A38" s="49">
        <v>38</v>
      </c>
      <c r="B38" s="50" t="s">
        <v>39</v>
      </c>
      <c r="C38" s="50" t="s">
        <v>99</v>
      </c>
    </row>
    <row r="39" spans="1:3" x14ac:dyDescent="0.25">
      <c r="A39" s="49">
        <v>39</v>
      </c>
      <c r="B39" s="50" t="s">
        <v>40</v>
      </c>
      <c r="C39" s="50" t="s">
        <v>100</v>
      </c>
    </row>
    <row r="40" spans="1:3" x14ac:dyDescent="0.25">
      <c r="A40" s="49">
        <v>40</v>
      </c>
      <c r="B40" s="50" t="s">
        <v>41</v>
      </c>
      <c r="C40" s="50" t="s">
        <v>101</v>
      </c>
    </row>
    <row r="41" spans="1:3" x14ac:dyDescent="0.25">
      <c r="A41" s="49">
        <v>41</v>
      </c>
      <c r="B41" s="50" t="s">
        <v>42</v>
      </c>
      <c r="C41" s="50" t="s">
        <v>102</v>
      </c>
    </row>
    <row r="42" spans="1:3" x14ac:dyDescent="0.25">
      <c r="A42" s="49">
        <v>42</v>
      </c>
      <c r="B42" s="50" t="s">
        <v>43</v>
      </c>
      <c r="C42" s="50" t="s">
        <v>103</v>
      </c>
    </row>
    <row r="43" spans="1:3" x14ac:dyDescent="0.25">
      <c r="A43" s="49">
        <v>43</v>
      </c>
      <c r="B43" s="50" t="s">
        <v>44</v>
      </c>
      <c r="C43" s="50" t="s">
        <v>104</v>
      </c>
    </row>
    <row r="44" spans="1:3" x14ac:dyDescent="0.25">
      <c r="A44" s="49">
        <v>44</v>
      </c>
      <c r="B44" s="50" t="s">
        <v>45</v>
      </c>
      <c r="C44" s="50" t="s">
        <v>105</v>
      </c>
    </row>
    <row r="45" spans="1:3" x14ac:dyDescent="0.25">
      <c r="A45" s="49">
        <v>45</v>
      </c>
      <c r="B45" s="50" t="s">
        <v>46</v>
      </c>
      <c r="C45" s="50" t="s">
        <v>106</v>
      </c>
    </row>
    <row r="46" spans="1:3" x14ac:dyDescent="0.25">
      <c r="A46" s="49">
        <v>46</v>
      </c>
      <c r="B46" s="50" t="s">
        <v>47</v>
      </c>
      <c r="C46" s="50" t="s">
        <v>107</v>
      </c>
    </row>
    <row r="47" spans="1:3" x14ac:dyDescent="0.25">
      <c r="A47" s="49">
        <v>47</v>
      </c>
      <c r="B47" s="50" t="s">
        <v>48</v>
      </c>
      <c r="C47" s="50" t="s">
        <v>108</v>
      </c>
    </row>
    <row r="48" spans="1:3" x14ac:dyDescent="0.25">
      <c r="A48" s="49">
        <v>48</v>
      </c>
      <c r="B48" s="50" t="s">
        <v>49</v>
      </c>
      <c r="C48" s="50" t="s">
        <v>109</v>
      </c>
    </row>
    <row r="49" spans="1:3" x14ac:dyDescent="0.25">
      <c r="A49" s="49">
        <v>49</v>
      </c>
      <c r="B49" s="50" t="s">
        <v>50</v>
      </c>
      <c r="C49" s="50" t="s">
        <v>110</v>
      </c>
    </row>
    <row r="50" spans="1:3" x14ac:dyDescent="0.25">
      <c r="A50" s="49">
        <v>50</v>
      </c>
      <c r="B50" s="50" t="s">
        <v>51</v>
      </c>
      <c r="C50" s="50" t="s">
        <v>111</v>
      </c>
    </row>
    <row r="51" spans="1:3" x14ac:dyDescent="0.25">
      <c r="A51" s="49">
        <v>51</v>
      </c>
      <c r="B51" s="50" t="s">
        <v>52</v>
      </c>
      <c r="C51" s="50" t="s">
        <v>112</v>
      </c>
    </row>
    <row r="52" spans="1:3" x14ac:dyDescent="0.25">
      <c r="A52" s="49">
        <v>52</v>
      </c>
      <c r="B52" s="50" t="s">
        <v>53</v>
      </c>
      <c r="C52" s="50" t="s">
        <v>113</v>
      </c>
    </row>
    <row r="53" spans="1:3" x14ac:dyDescent="0.25">
      <c r="A53" s="49">
        <v>53</v>
      </c>
      <c r="B53" s="50" t="s">
        <v>54</v>
      </c>
      <c r="C53" s="50" t="s">
        <v>114</v>
      </c>
    </row>
  </sheetData>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tint="0.59999389629810485"/>
  </sheetPr>
  <dimension ref="A1:M1911"/>
  <sheetViews>
    <sheetView workbookViewId="0">
      <pane xSplit="2" ySplit="2" topLeftCell="C15" activePane="bottomRight" state="frozen"/>
      <selection pane="topRight" activeCell="C1" sqref="C1"/>
      <selection pane="bottomLeft" activeCell="A2" sqref="A2"/>
      <selection pane="bottomRight" sqref="A1:XFD1048576"/>
    </sheetView>
  </sheetViews>
  <sheetFormatPr defaultRowHeight="15" x14ac:dyDescent="0.25"/>
  <cols>
    <col min="1" max="1" width="5" style="49" bestFit="1" customWidth="1"/>
    <col min="2" max="2" width="5.5703125" style="330" bestFit="1" customWidth="1"/>
    <col min="3" max="3" width="16.7109375" style="199" bestFit="1" customWidth="1"/>
    <col min="4" max="4" width="19.28515625" style="199" bestFit="1" customWidth="1"/>
    <col min="5" max="5" width="19.28515625" style="199" customWidth="1"/>
    <col min="6" max="6" width="22.85546875" style="199" bestFit="1" customWidth="1"/>
    <col min="7" max="8" width="22.85546875" style="199" customWidth="1"/>
    <col min="9" max="9" width="20" style="199" bestFit="1" customWidth="1"/>
    <col min="10" max="10" width="10.140625" style="199" bestFit="1" customWidth="1"/>
    <col min="11" max="11" width="10.85546875" style="199" bestFit="1" customWidth="1"/>
    <col min="12" max="12" width="39" style="333" bestFit="1" customWidth="1"/>
    <col min="13" max="13" width="5.85546875" style="335" bestFit="1" customWidth="1"/>
    <col min="14" max="16384" width="9.140625" style="50"/>
  </cols>
  <sheetData>
    <row r="1" spans="1:13" x14ac:dyDescent="0.25">
      <c r="A1" s="325" t="s">
        <v>0</v>
      </c>
      <c r="B1" s="326" t="s">
        <v>1</v>
      </c>
      <c r="C1" s="327" t="s">
        <v>55</v>
      </c>
      <c r="D1" s="327" t="s">
        <v>56</v>
      </c>
      <c r="E1" s="327" t="s">
        <v>123</v>
      </c>
      <c r="F1" s="327" t="s">
        <v>57</v>
      </c>
      <c r="G1" s="327" t="s">
        <v>128</v>
      </c>
      <c r="H1" s="327" t="s">
        <v>120</v>
      </c>
      <c r="I1" s="327" t="s">
        <v>58</v>
      </c>
      <c r="J1" s="327" t="s">
        <v>59</v>
      </c>
      <c r="K1" s="327" t="s">
        <v>121</v>
      </c>
      <c r="L1" s="329" t="s">
        <v>60</v>
      </c>
      <c r="M1" s="329" t="s">
        <v>61</v>
      </c>
    </row>
    <row r="2" spans="1:13" ht="15" customHeight="1" x14ac:dyDescent="0.25">
      <c r="A2" s="49">
        <v>1980</v>
      </c>
      <c r="B2" s="330" t="s">
        <v>2</v>
      </c>
      <c r="C2" s="331">
        <v>2696087299</v>
      </c>
      <c r="D2" s="331">
        <v>1345889948</v>
      </c>
      <c r="E2" s="331">
        <v>65341809</v>
      </c>
      <c r="F2" s="331">
        <v>44134</v>
      </c>
      <c r="G2" s="370">
        <f t="shared" ref="G2:G65" si="0">F2/C2</f>
        <v>1.6369647977040523E-5</v>
      </c>
      <c r="H2" s="370">
        <f t="shared" ref="H2:H65" si="1">F2/D2</f>
        <v>3.2791685579926778E-5</v>
      </c>
      <c r="I2" s="331">
        <v>92356</v>
      </c>
      <c r="J2" s="331">
        <v>0</v>
      </c>
      <c r="K2" s="331">
        <f t="shared" ref="K2:K65" si="2">I2-J2</f>
        <v>92356</v>
      </c>
      <c r="L2" s="199">
        <v>4.8499999999999996</v>
      </c>
      <c r="M2" s="199">
        <v>3.37</v>
      </c>
    </row>
    <row r="3" spans="1:13" ht="15" customHeight="1" x14ac:dyDescent="0.25">
      <c r="A3" s="49">
        <v>1981</v>
      </c>
      <c r="B3" s="330" t="s">
        <v>2</v>
      </c>
      <c r="C3" s="331">
        <v>3296363642</v>
      </c>
      <c r="D3" s="331">
        <v>1811372495</v>
      </c>
      <c r="E3" s="331">
        <v>75504409</v>
      </c>
      <c r="F3" s="331">
        <v>58093</v>
      </c>
      <c r="G3" s="370">
        <f t="shared" si="0"/>
        <v>1.7623359043225364E-5</v>
      </c>
      <c r="H3" s="370">
        <f t="shared" si="1"/>
        <v>3.2071260969434117E-5</v>
      </c>
      <c r="I3" s="331">
        <v>111654</v>
      </c>
      <c r="J3" s="331">
        <v>0</v>
      </c>
      <c r="K3" s="331">
        <f t="shared" si="2"/>
        <v>111654</v>
      </c>
      <c r="L3" s="199">
        <v>4.17</v>
      </c>
      <c r="M3" s="199">
        <v>3.22</v>
      </c>
    </row>
    <row r="4" spans="1:13" ht="15" customHeight="1" x14ac:dyDescent="0.25">
      <c r="A4" s="49">
        <v>1982</v>
      </c>
      <c r="B4" s="330" t="s">
        <v>2</v>
      </c>
      <c r="C4" s="331">
        <v>3904635534</v>
      </c>
      <c r="D4" s="331">
        <v>2211310256</v>
      </c>
      <c r="E4" s="331">
        <v>88161533</v>
      </c>
      <c r="F4" s="331">
        <v>71159</v>
      </c>
      <c r="G4" s="370">
        <f t="shared" si="0"/>
        <v>1.8224236136862448E-5</v>
      </c>
      <c r="H4" s="370">
        <f t="shared" si="1"/>
        <v>3.217956404214317E-5</v>
      </c>
      <c r="I4" s="331">
        <v>133984</v>
      </c>
      <c r="J4" s="331">
        <v>0</v>
      </c>
      <c r="K4" s="331">
        <f t="shared" si="2"/>
        <v>133984</v>
      </c>
      <c r="L4" s="199">
        <v>3.99</v>
      </c>
      <c r="M4" s="199">
        <v>3.16</v>
      </c>
    </row>
    <row r="5" spans="1:13" ht="15" customHeight="1" x14ac:dyDescent="0.25">
      <c r="A5" s="49">
        <v>1983</v>
      </c>
      <c r="B5" s="330" t="s">
        <v>2</v>
      </c>
      <c r="C5" s="331">
        <v>4295492365</v>
      </c>
      <c r="D5" s="331">
        <v>2819398124</v>
      </c>
      <c r="E5" s="331">
        <v>85266800</v>
      </c>
      <c r="F5" s="331">
        <v>81720</v>
      </c>
      <c r="G5" s="370">
        <f t="shared" si="0"/>
        <v>1.9024594401764232E-5</v>
      </c>
      <c r="H5" s="370">
        <f t="shared" si="1"/>
        <v>2.8984909688476476E-5</v>
      </c>
      <c r="I5" s="331">
        <v>145083</v>
      </c>
      <c r="J5" s="331">
        <v>0</v>
      </c>
      <c r="K5" s="331">
        <f t="shared" si="2"/>
        <v>145083</v>
      </c>
      <c r="L5" s="199">
        <v>3.02</v>
      </c>
      <c r="M5" s="199">
        <v>3.16</v>
      </c>
    </row>
    <row r="6" spans="1:13" ht="15" customHeight="1" x14ac:dyDescent="0.25">
      <c r="A6" s="49">
        <v>1984</v>
      </c>
      <c r="B6" s="330" t="s">
        <v>2</v>
      </c>
      <c r="C6" s="331">
        <v>4458579168</v>
      </c>
      <c r="D6" s="331">
        <v>3021792258</v>
      </c>
      <c r="E6" s="331">
        <v>97101362</v>
      </c>
      <c r="F6" s="331">
        <v>87617</v>
      </c>
      <c r="G6" s="370">
        <f t="shared" si="0"/>
        <v>1.965132763119751E-5</v>
      </c>
      <c r="H6" s="370">
        <f t="shared" si="1"/>
        <v>2.899504417222582E-5</v>
      </c>
      <c r="I6" s="331">
        <v>165811</v>
      </c>
      <c r="J6" s="331">
        <v>0</v>
      </c>
      <c r="K6" s="331">
        <f t="shared" si="2"/>
        <v>165811</v>
      </c>
      <c r="L6" s="199">
        <v>3.21</v>
      </c>
      <c r="M6" s="199">
        <v>3.16</v>
      </c>
    </row>
    <row r="7" spans="1:13" ht="15" customHeight="1" x14ac:dyDescent="0.25">
      <c r="A7" s="49">
        <v>1985</v>
      </c>
      <c r="B7" s="330" t="s">
        <v>2</v>
      </c>
      <c r="C7" s="331">
        <v>4443506166</v>
      </c>
      <c r="D7" s="331">
        <v>3025289198</v>
      </c>
      <c r="E7" s="331">
        <v>84516045</v>
      </c>
      <c r="F7" s="331">
        <v>109486</v>
      </c>
      <c r="G7" s="370">
        <f t="shared" si="0"/>
        <v>2.4639551721058646E-5</v>
      </c>
      <c r="H7" s="370">
        <f t="shared" si="1"/>
        <v>3.6190259123782453E-5</v>
      </c>
      <c r="I7" s="331">
        <v>152553</v>
      </c>
      <c r="J7" s="331">
        <v>0</v>
      </c>
      <c r="K7" s="331">
        <f t="shared" si="2"/>
        <v>152553</v>
      </c>
      <c r="L7" s="199">
        <v>2.79</v>
      </c>
      <c r="M7" s="199">
        <v>3.25</v>
      </c>
    </row>
    <row r="8" spans="1:13" ht="15" customHeight="1" x14ac:dyDescent="0.25">
      <c r="A8" s="49">
        <v>1986</v>
      </c>
      <c r="B8" s="330" t="s">
        <v>2</v>
      </c>
      <c r="C8" s="331">
        <v>4059991635</v>
      </c>
      <c r="D8" s="331">
        <v>2766488143</v>
      </c>
      <c r="E8" s="331">
        <v>79079441</v>
      </c>
      <c r="F8" s="331">
        <v>137850</v>
      </c>
      <c r="G8" s="370">
        <f t="shared" si="0"/>
        <v>3.3953271925891545E-5</v>
      </c>
      <c r="H8" s="370">
        <f t="shared" si="1"/>
        <v>4.9828516470890941E-5</v>
      </c>
      <c r="I8" s="331">
        <v>91357</v>
      </c>
      <c r="J8" s="331">
        <v>0</v>
      </c>
      <c r="K8" s="331">
        <f t="shared" si="2"/>
        <v>91357</v>
      </c>
      <c r="L8" s="199">
        <v>2.86</v>
      </c>
      <c r="M8" s="199">
        <v>3.61</v>
      </c>
    </row>
    <row r="9" spans="1:13" ht="15" customHeight="1" x14ac:dyDescent="0.25">
      <c r="A9" s="49">
        <v>1987</v>
      </c>
      <c r="B9" s="330" t="s">
        <v>2</v>
      </c>
      <c r="C9" s="331">
        <v>3723245124</v>
      </c>
      <c r="D9" s="331">
        <v>2517828929</v>
      </c>
      <c r="E9" s="331">
        <v>87239361</v>
      </c>
      <c r="F9" s="331">
        <v>110313</v>
      </c>
      <c r="G9" s="370">
        <f t="shared" si="0"/>
        <v>2.9628186253148773E-5</v>
      </c>
      <c r="H9" s="370">
        <f t="shared" si="1"/>
        <v>4.381274626303255E-5</v>
      </c>
      <c r="I9" s="331">
        <v>65399</v>
      </c>
      <c r="J9" s="331">
        <v>0</v>
      </c>
      <c r="K9" s="331">
        <f t="shared" si="2"/>
        <v>65399</v>
      </c>
      <c r="L9" s="199">
        <v>3.46</v>
      </c>
      <c r="M9" s="199">
        <v>3.61</v>
      </c>
    </row>
    <row r="10" spans="1:13" ht="15" customHeight="1" x14ac:dyDescent="0.25">
      <c r="A10" s="49">
        <v>1988</v>
      </c>
      <c r="B10" s="330" t="s">
        <v>2</v>
      </c>
      <c r="C10" s="331">
        <v>3824040603</v>
      </c>
      <c r="D10" s="331">
        <v>2551897198</v>
      </c>
      <c r="E10" s="331">
        <v>112629815</v>
      </c>
      <c r="F10" s="331">
        <v>81665</v>
      </c>
      <c r="G10" s="370">
        <f t="shared" si="0"/>
        <v>2.1355683288491483E-5</v>
      </c>
      <c r="H10" s="370">
        <f t="shared" si="1"/>
        <v>3.2001680970535712E-5</v>
      </c>
      <c r="I10" s="331">
        <v>95237</v>
      </c>
      <c r="J10" s="331">
        <v>0</v>
      </c>
      <c r="K10" s="331">
        <f t="shared" si="2"/>
        <v>95237</v>
      </c>
      <c r="L10" s="199">
        <v>4.41</v>
      </c>
      <c r="M10" s="199">
        <v>3.61</v>
      </c>
    </row>
    <row r="11" spans="1:13" ht="15" customHeight="1" x14ac:dyDescent="0.25">
      <c r="A11" s="49">
        <v>1989</v>
      </c>
      <c r="B11" s="330" t="s">
        <v>2</v>
      </c>
      <c r="C11" s="331">
        <v>4454982116</v>
      </c>
      <c r="D11" s="331">
        <v>2966717522</v>
      </c>
      <c r="E11" s="331">
        <v>147571825</v>
      </c>
      <c r="F11" s="331">
        <v>68011</v>
      </c>
      <c r="G11" s="370">
        <f t="shared" si="0"/>
        <v>1.5266279017314017E-5</v>
      </c>
      <c r="H11" s="370">
        <f t="shared" si="1"/>
        <v>2.2924663199531943E-5</v>
      </c>
      <c r="I11" s="331">
        <v>179973</v>
      </c>
      <c r="J11" s="331">
        <v>0</v>
      </c>
      <c r="K11" s="331">
        <f t="shared" si="2"/>
        <v>179973</v>
      </c>
      <c r="L11" s="199">
        <v>4.97</v>
      </c>
      <c r="M11" s="199">
        <v>3.61</v>
      </c>
    </row>
    <row r="12" spans="1:13" ht="15" customHeight="1" x14ac:dyDescent="0.25">
      <c r="A12" s="49">
        <v>1990</v>
      </c>
      <c r="B12" s="330" t="s">
        <v>2</v>
      </c>
      <c r="C12" s="331">
        <v>4694293635</v>
      </c>
      <c r="D12" s="331">
        <v>3039461188</v>
      </c>
      <c r="E12" s="331">
        <v>126365131</v>
      </c>
      <c r="F12" s="331">
        <v>87941</v>
      </c>
      <c r="G12" s="370">
        <f t="shared" si="0"/>
        <v>1.8733595901271309E-5</v>
      </c>
      <c r="H12" s="370">
        <f t="shared" si="1"/>
        <v>2.8933088649789992E-5</v>
      </c>
      <c r="I12" s="331">
        <v>232676</v>
      </c>
      <c r="J12" s="331">
        <v>0</v>
      </c>
      <c r="K12" s="331">
        <f t="shared" si="2"/>
        <v>232676</v>
      </c>
      <c r="L12" s="199">
        <v>4.16</v>
      </c>
      <c r="M12" s="199">
        <v>3.61</v>
      </c>
    </row>
    <row r="13" spans="1:13" ht="15" customHeight="1" x14ac:dyDescent="0.25">
      <c r="A13" s="49">
        <v>1991</v>
      </c>
      <c r="B13" s="330" t="s">
        <v>2</v>
      </c>
      <c r="C13" s="331">
        <v>4879707980</v>
      </c>
      <c r="D13" s="331">
        <v>3184120443</v>
      </c>
      <c r="E13" s="331">
        <v>100134839</v>
      </c>
      <c r="F13" s="331">
        <v>107992</v>
      </c>
      <c r="G13" s="370">
        <f t="shared" si="0"/>
        <v>2.2130832509366677E-5</v>
      </c>
      <c r="H13" s="370">
        <f t="shared" si="1"/>
        <v>3.3915802474561102E-5</v>
      </c>
      <c r="I13" s="331">
        <v>243155</v>
      </c>
      <c r="J13" s="331">
        <v>0</v>
      </c>
      <c r="K13" s="331">
        <f t="shared" si="2"/>
        <v>243155</v>
      </c>
      <c r="L13" s="199">
        <v>3.14</v>
      </c>
      <c r="M13" s="199">
        <v>3.61</v>
      </c>
    </row>
    <row r="14" spans="1:13" ht="15" customHeight="1" x14ac:dyDescent="0.25">
      <c r="A14" s="49">
        <v>1992</v>
      </c>
      <c r="B14" s="330" t="s">
        <v>2</v>
      </c>
      <c r="C14" s="331">
        <v>5078700303</v>
      </c>
      <c r="D14" s="331">
        <v>3264486711</v>
      </c>
      <c r="E14" s="331">
        <v>86631703</v>
      </c>
      <c r="F14" s="331">
        <v>116530</v>
      </c>
      <c r="G14" s="370">
        <f t="shared" si="0"/>
        <v>2.2944846722135869E-5</v>
      </c>
      <c r="H14" s="370">
        <f t="shared" si="1"/>
        <v>3.5696270291847422E-5</v>
      </c>
      <c r="I14" s="331">
        <v>232320</v>
      </c>
      <c r="J14" s="331">
        <v>0</v>
      </c>
      <c r="K14" s="331">
        <f t="shared" si="2"/>
        <v>232320</v>
      </c>
      <c r="L14" s="199">
        <v>2.65</v>
      </c>
      <c r="M14" s="199">
        <v>3.61</v>
      </c>
    </row>
    <row r="15" spans="1:13" ht="15" customHeight="1" x14ac:dyDescent="0.25">
      <c r="A15" s="49">
        <v>1993</v>
      </c>
      <c r="B15" s="330" t="s">
        <v>2</v>
      </c>
      <c r="C15" s="331">
        <v>5274043674</v>
      </c>
      <c r="D15" s="331">
        <v>3405963000</v>
      </c>
      <c r="E15" s="331">
        <v>86288045</v>
      </c>
      <c r="F15" s="331">
        <v>102420</v>
      </c>
      <c r="G15" s="370">
        <f t="shared" si="0"/>
        <v>1.9419634407828379E-5</v>
      </c>
      <c r="H15" s="370">
        <f t="shared" si="1"/>
        <v>3.0070790551747039E-5</v>
      </c>
      <c r="I15" s="331">
        <v>227911</v>
      </c>
      <c r="J15" s="331">
        <v>0</v>
      </c>
      <c r="K15" s="331">
        <f t="shared" si="2"/>
        <v>227911</v>
      </c>
      <c r="L15" s="199">
        <v>2.5299999999999998</v>
      </c>
      <c r="M15" s="199">
        <v>3.61</v>
      </c>
    </row>
    <row r="16" spans="1:13" ht="15" customHeight="1" x14ac:dyDescent="0.25">
      <c r="A16" s="49">
        <v>1994</v>
      </c>
      <c r="B16" s="330" t="s">
        <v>2</v>
      </c>
      <c r="C16" s="331">
        <v>5527581632</v>
      </c>
      <c r="D16" s="331">
        <v>3592649812</v>
      </c>
      <c r="E16" s="331">
        <v>91755106</v>
      </c>
      <c r="F16" s="331">
        <v>114340</v>
      </c>
      <c r="G16" s="370">
        <f t="shared" si="0"/>
        <v>2.0685357107721136E-5</v>
      </c>
      <c r="H16" s="370">
        <f t="shared" si="1"/>
        <v>3.1826091042351775E-5</v>
      </c>
      <c r="I16" s="331">
        <v>210563</v>
      </c>
      <c r="J16" s="331">
        <v>0</v>
      </c>
      <c r="K16" s="331">
        <f t="shared" si="2"/>
        <v>210563</v>
      </c>
      <c r="L16" s="199">
        <v>2.5499999999999998</v>
      </c>
      <c r="M16" s="199">
        <v>3.61</v>
      </c>
    </row>
    <row r="17" spans="1:13" ht="15" customHeight="1" x14ac:dyDescent="0.25">
      <c r="A17" s="49">
        <v>1995</v>
      </c>
      <c r="B17" s="330" t="s">
        <v>2</v>
      </c>
      <c r="C17" s="331">
        <v>5644394668</v>
      </c>
      <c r="D17" s="331">
        <v>3699217994</v>
      </c>
      <c r="E17" s="331">
        <v>96397871</v>
      </c>
      <c r="F17" s="331">
        <v>114124</v>
      </c>
      <c r="G17" s="370">
        <f t="shared" si="0"/>
        <v>2.0218997202128318E-5</v>
      </c>
      <c r="H17" s="370">
        <f t="shared" si="1"/>
        <v>3.085084474207929E-5</v>
      </c>
      <c r="I17" s="331">
        <v>201017</v>
      </c>
      <c r="J17" s="331">
        <v>0</v>
      </c>
      <c r="K17" s="331">
        <f t="shared" si="2"/>
        <v>201017</v>
      </c>
      <c r="L17" s="199">
        <v>2.61</v>
      </c>
      <c r="M17" s="199">
        <v>3.61</v>
      </c>
    </row>
    <row r="18" spans="1:13" ht="15" customHeight="1" x14ac:dyDescent="0.25">
      <c r="A18" s="49">
        <v>1996</v>
      </c>
      <c r="B18" s="330" t="s">
        <v>2</v>
      </c>
      <c r="C18" s="331">
        <v>5723343028</v>
      </c>
      <c r="D18" s="331">
        <v>3740924745</v>
      </c>
      <c r="E18" s="331">
        <v>101031315</v>
      </c>
      <c r="F18" s="331">
        <v>113246</v>
      </c>
      <c r="G18" s="370">
        <f t="shared" si="0"/>
        <v>1.9786687508676789E-5</v>
      </c>
      <c r="H18" s="370">
        <f t="shared" si="1"/>
        <v>3.0272194101568329E-5</v>
      </c>
      <c r="I18" s="331">
        <v>194188</v>
      </c>
      <c r="J18" s="331">
        <v>0</v>
      </c>
      <c r="K18" s="331">
        <f t="shared" si="2"/>
        <v>194188</v>
      </c>
      <c r="L18" s="199">
        <v>2.7</v>
      </c>
      <c r="M18" s="199">
        <v>3.61</v>
      </c>
    </row>
    <row r="19" spans="1:13" ht="15" customHeight="1" x14ac:dyDescent="0.25">
      <c r="A19" s="49">
        <v>1997</v>
      </c>
      <c r="B19" s="330" t="s">
        <v>2</v>
      </c>
      <c r="C19" s="331">
        <v>5943889511</v>
      </c>
      <c r="D19" s="331">
        <v>3854021550</v>
      </c>
      <c r="E19" s="331">
        <v>111986396</v>
      </c>
      <c r="F19" s="331">
        <v>110858</v>
      </c>
      <c r="G19" s="370">
        <f t="shared" si="0"/>
        <v>1.8650750454705078E-5</v>
      </c>
      <c r="H19" s="370">
        <f t="shared" si="1"/>
        <v>2.8764239784803488E-5</v>
      </c>
      <c r="I19" s="331">
        <v>202416</v>
      </c>
      <c r="J19" s="331">
        <v>0</v>
      </c>
      <c r="K19" s="331">
        <f t="shared" si="2"/>
        <v>202416</v>
      </c>
      <c r="L19" s="199">
        <v>2.91</v>
      </c>
      <c r="M19" s="199">
        <v>3.52</v>
      </c>
    </row>
    <row r="20" spans="1:13" ht="15" customHeight="1" x14ac:dyDescent="0.25">
      <c r="A20" s="49">
        <v>1998</v>
      </c>
      <c r="B20" s="330" t="s">
        <v>2</v>
      </c>
      <c r="C20" s="331">
        <v>6275624317</v>
      </c>
      <c r="D20" s="331">
        <v>3993284747</v>
      </c>
      <c r="E20" s="331">
        <v>102205803</v>
      </c>
      <c r="F20" s="331">
        <v>102258</v>
      </c>
      <c r="G20" s="370">
        <f t="shared" si="0"/>
        <v>1.6294474435474719E-5</v>
      </c>
      <c r="H20" s="370">
        <f t="shared" si="1"/>
        <v>2.5607490193836657E-5</v>
      </c>
      <c r="I20" s="331">
        <v>212317</v>
      </c>
      <c r="J20" s="331">
        <v>0</v>
      </c>
      <c r="K20" s="331">
        <f t="shared" si="2"/>
        <v>212317</v>
      </c>
      <c r="L20" s="199">
        <v>2.56</v>
      </c>
      <c r="M20" s="199">
        <v>3.13</v>
      </c>
    </row>
    <row r="21" spans="1:13" ht="15" customHeight="1" x14ac:dyDescent="0.25">
      <c r="A21" s="49">
        <v>1999</v>
      </c>
      <c r="B21" s="330" t="s">
        <v>2</v>
      </c>
      <c r="C21" s="331">
        <v>6387059041</v>
      </c>
      <c r="D21" s="331">
        <v>4116037750</v>
      </c>
      <c r="E21" s="331">
        <v>101266337</v>
      </c>
      <c r="F21" s="331">
        <v>112626</v>
      </c>
      <c r="G21" s="370">
        <f t="shared" si="0"/>
        <v>1.7633467809993273E-5</v>
      </c>
      <c r="H21" s="370">
        <f t="shared" si="1"/>
        <v>2.7362722803016079E-5</v>
      </c>
      <c r="I21" s="331">
        <v>205167</v>
      </c>
      <c r="J21" s="331">
        <v>0</v>
      </c>
      <c r="K21" s="331">
        <f t="shared" si="2"/>
        <v>205167</v>
      </c>
      <c r="L21" s="199">
        <v>2.46</v>
      </c>
      <c r="M21" s="199">
        <v>3.13</v>
      </c>
    </row>
    <row r="22" spans="1:13" ht="15" customHeight="1" x14ac:dyDescent="0.25">
      <c r="A22" s="49">
        <v>2000</v>
      </c>
      <c r="B22" s="330" t="s">
        <v>2</v>
      </c>
      <c r="C22" s="331">
        <v>6787520502</v>
      </c>
      <c r="D22" s="331">
        <v>4391887934</v>
      </c>
      <c r="E22" s="331">
        <v>118447853</v>
      </c>
      <c r="F22" s="331">
        <v>101216</v>
      </c>
      <c r="G22" s="370">
        <f t="shared" si="0"/>
        <v>1.491207282102144E-5</v>
      </c>
      <c r="H22" s="370">
        <f t="shared" si="1"/>
        <v>2.3046125384127346E-5</v>
      </c>
      <c r="I22" s="331">
        <v>219199</v>
      </c>
      <c r="J22" s="331">
        <v>0</v>
      </c>
      <c r="K22" s="331">
        <f t="shared" si="2"/>
        <v>219199</v>
      </c>
      <c r="L22" s="199">
        <v>2.7</v>
      </c>
      <c r="M22" s="199">
        <v>3.13</v>
      </c>
    </row>
    <row r="23" spans="1:13" ht="15" customHeight="1" x14ac:dyDescent="0.25">
      <c r="A23" s="49">
        <v>2001</v>
      </c>
      <c r="B23" s="330" t="s">
        <v>2</v>
      </c>
      <c r="C23" s="331">
        <v>7236753547</v>
      </c>
      <c r="D23" s="331">
        <v>4566535639</v>
      </c>
      <c r="E23" s="331">
        <v>118652669</v>
      </c>
      <c r="F23" s="331">
        <v>102864</v>
      </c>
      <c r="G23" s="370">
        <f t="shared" si="0"/>
        <v>1.4214108485515903E-5</v>
      </c>
      <c r="H23" s="370">
        <f t="shared" si="1"/>
        <v>2.2525609812721314E-5</v>
      </c>
      <c r="I23" s="331">
        <v>231870</v>
      </c>
      <c r="J23" s="331">
        <v>0</v>
      </c>
      <c r="K23" s="331">
        <f t="shared" si="2"/>
        <v>231870</v>
      </c>
      <c r="L23" s="199">
        <v>2.6</v>
      </c>
      <c r="M23" s="199">
        <v>3.13</v>
      </c>
    </row>
    <row r="24" spans="1:13" ht="15" customHeight="1" x14ac:dyDescent="0.25">
      <c r="A24" s="49">
        <v>2002</v>
      </c>
      <c r="B24" s="330" t="s">
        <v>2</v>
      </c>
      <c r="C24" s="331">
        <v>7501379548</v>
      </c>
      <c r="D24" s="331">
        <v>4723284616</v>
      </c>
      <c r="E24" s="331">
        <v>118259243</v>
      </c>
      <c r="F24" s="331">
        <v>98333</v>
      </c>
      <c r="G24" s="370">
        <f t="shared" si="0"/>
        <v>1.3108655464076245E-5</v>
      </c>
      <c r="H24" s="370">
        <f t="shared" si="1"/>
        <v>2.0818775067439214E-5</v>
      </c>
      <c r="I24" s="331">
        <v>233286</v>
      </c>
      <c r="J24" s="331">
        <v>0</v>
      </c>
      <c r="K24" s="331">
        <f t="shared" si="2"/>
        <v>233286</v>
      </c>
      <c r="L24" s="199">
        <v>2.5</v>
      </c>
      <c r="M24" s="199">
        <v>3.13</v>
      </c>
    </row>
    <row r="25" spans="1:13" ht="15" customHeight="1" x14ac:dyDescent="0.25">
      <c r="A25" s="49">
        <v>2003</v>
      </c>
      <c r="B25" s="330" t="s">
        <v>2</v>
      </c>
      <c r="C25" s="331">
        <v>7731324910</v>
      </c>
      <c r="D25" s="331">
        <v>4875513928</v>
      </c>
      <c r="E25" s="331">
        <v>115499441</v>
      </c>
      <c r="F25" s="331">
        <v>123484</v>
      </c>
      <c r="G25" s="370">
        <f t="shared" si="0"/>
        <v>1.5971906683197461E-5</v>
      </c>
      <c r="H25" s="370">
        <f t="shared" si="1"/>
        <v>2.5327381240946381E-5</v>
      </c>
      <c r="I25" s="331">
        <v>193066</v>
      </c>
      <c r="J25" s="331">
        <v>0</v>
      </c>
      <c r="K25" s="331">
        <f t="shared" si="2"/>
        <v>193066</v>
      </c>
      <c r="L25" s="199">
        <v>2.37</v>
      </c>
      <c r="M25" s="199">
        <v>3.13</v>
      </c>
    </row>
    <row r="26" spans="1:13" ht="15" customHeight="1" x14ac:dyDescent="0.25">
      <c r="A26" s="49">
        <v>2004</v>
      </c>
      <c r="B26" s="330" t="s">
        <v>2</v>
      </c>
      <c r="C26" s="331">
        <v>8167938045</v>
      </c>
      <c r="D26" s="331">
        <v>5131620879</v>
      </c>
      <c r="E26" s="331">
        <v>137047726</v>
      </c>
      <c r="F26" s="331">
        <v>113863</v>
      </c>
      <c r="G26" s="370">
        <f t="shared" si="0"/>
        <v>1.3940237961244233E-5</v>
      </c>
      <c r="H26" s="370">
        <f t="shared" si="1"/>
        <v>2.2188505870719841E-5</v>
      </c>
      <c r="I26" s="331">
        <v>205951</v>
      </c>
      <c r="J26" s="331">
        <v>0</v>
      </c>
      <c r="K26" s="331">
        <f t="shared" si="2"/>
        <v>205951</v>
      </c>
      <c r="L26" s="199">
        <v>2.67</v>
      </c>
      <c r="M26" s="199">
        <v>3.13</v>
      </c>
    </row>
    <row r="27" spans="1:13" ht="15" customHeight="1" x14ac:dyDescent="0.25">
      <c r="A27" s="49">
        <v>2005</v>
      </c>
      <c r="B27" s="330" t="s">
        <v>2</v>
      </c>
      <c r="C27" s="331">
        <v>8623313344</v>
      </c>
      <c r="D27" s="331">
        <v>5438705627</v>
      </c>
      <c r="E27" s="331">
        <v>162916226</v>
      </c>
      <c r="F27" s="331">
        <v>107109</v>
      </c>
      <c r="G27" s="370">
        <f t="shared" si="0"/>
        <v>1.2420863736156032E-5</v>
      </c>
      <c r="H27" s="370">
        <f t="shared" si="1"/>
        <v>1.9693840289547263E-5</v>
      </c>
      <c r="I27" s="331">
        <v>233297</v>
      </c>
      <c r="J27" s="331">
        <v>0</v>
      </c>
      <c r="K27" s="331">
        <f t="shared" si="2"/>
        <v>233297</v>
      </c>
      <c r="L27" s="199">
        <v>3</v>
      </c>
      <c r="M27" s="199">
        <v>3.13</v>
      </c>
    </row>
    <row r="28" spans="1:13" ht="15" customHeight="1" x14ac:dyDescent="0.25">
      <c r="A28" s="49">
        <v>2006</v>
      </c>
      <c r="B28" s="330" t="s">
        <v>2</v>
      </c>
      <c r="C28" s="331">
        <v>9213138020</v>
      </c>
      <c r="D28" s="331">
        <v>5724508380</v>
      </c>
      <c r="E28" s="331">
        <v>168911836</v>
      </c>
      <c r="F28" s="331">
        <v>101613</v>
      </c>
      <c r="G28" s="370">
        <f t="shared" si="0"/>
        <v>1.1029141187228193E-5</v>
      </c>
      <c r="H28" s="370">
        <f t="shared" si="1"/>
        <v>1.7750519914515348E-5</v>
      </c>
      <c r="I28" s="331">
        <v>284520</v>
      </c>
      <c r="J28" s="331">
        <v>0</v>
      </c>
      <c r="K28" s="331">
        <f t="shared" si="2"/>
        <v>284520</v>
      </c>
      <c r="L28" s="199">
        <v>2.95</v>
      </c>
      <c r="M28" s="199">
        <v>3.13</v>
      </c>
    </row>
    <row r="29" spans="1:13" ht="15" customHeight="1" x14ac:dyDescent="0.25">
      <c r="A29" s="49">
        <v>2007</v>
      </c>
      <c r="B29" s="330" t="s">
        <v>2</v>
      </c>
      <c r="C29" s="331">
        <v>9884184917</v>
      </c>
      <c r="D29" s="331">
        <v>6075671544</v>
      </c>
      <c r="E29" s="331">
        <v>151157583</v>
      </c>
      <c r="F29" s="331">
        <v>94495</v>
      </c>
      <c r="G29" s="370">
        <f t="shared" si="0"/>
        <v>9.5602217879874167E-6</v>
      </c>
      <c r="H29" s="370">
        <f t="shared" si="1"/>
        <v>1.5553013245641642E-5</v>
      </c>
      <c r="I29" s="331">
        <v>331214</v>
      </c>
      <c r="J29" s="331">
        <v>0</v>
      </c>
      <c r="K29" s="331">
        <f t="shared" si="2"/>
        <v>331214</v>
      </c>
      <c r="L29" s="199">
        <v>2.4900000000000002</v>
      </c>
      <c r="M29" s="199">
        <v>3.13</v>
      </c>
    </row>
    <row r="30" spans="1:13" ht="15" customHeight="1" x14ac:dyDescent="0.25">
      <c r="A30" s="49">
        <v>2008</v>
      </c>
      <c r="B30" s="330" t="s">
        <v>2</v>
      </c>
      <c r="C30" s="331">
        <v>10514638895</v>
      </c>
      <c r="D30" s="331">
        <v>6395351208</v>
      </c>
      <c r="E30" s="331">
        <v>135454173</v>
      </c>
      <c r="F30" s="331">
        <v>99491</v>
      </c>
      <c r="G30" s="370">
        <f t="shared" si="0"/>
        <v>9.4621414005297605E-6</v>
      </c>
      <c r="H30" s="370">
        <f t="shared" si="1"/>
        <v>1.5556768778475506E-5</v>
      </c>
      <c r="I30" s="331">
        <v>353513</v>
      </c>
      <c r="J30" s="331">
        <v>0</v>
      </c>
      <c r="K30" s="331">
        <f t="shared" si="2"/>
        <v>353513</v>
      </c>
      <c r="L30" s="199">
        <v>2.1</v>
      </c>
      <c r="M30" s="199">
        <v>3.13</v>
      </c>
    </row>
    <row r="31" spans="1:13" ht="15" customHeight="1" x14ac:dyDescent="0.25">
      <c r="A31" s="49">
        <v>2009</v>
      </c>
      <c r="B31" s="330" t="s">
        <v>2</v>
      </c>
      <c r="C31" s="331">
        <v>10638653608</v>
      </c>
      <c r="D31" s="331">
        <v>6454091628</v>
      </c>
      <c r="E31" s="331">
        <v>119019455</v>
      </c>
      <c r="F31" s="331">
        <v>157507</v>
      </c>
      <c r="G31" s="370">
        <f t="shared" si="0"/>
        <v>1.4805162927906468E-5</v>
      </c>
      <c r="H31" s="370">
        <f t="shared" si="1"/>
        <v>2.4404208845855573E-5</v>
      </c>
      <c r="I31" s="331">
        <v>298439</v>
      </c>
      <c r="J31" s="331">
        <v>0</v>
      </c>
      <c r="K31" s="331">
        <f t="shared" si="2"/>
        <v>298439</v>
      </c>
      <c r="L31" s="199">
        <v>1.8</v>
      </c>
      <c r="M31" s="199">
        <v>2.2599999999999998</v>
      </c>
    </row>
    <row r="32" spans="1:13" ht="15" customHeight="1" x14ac:dyDescent="0.25">
      <c r="A32" s="49">
        <v>2010</v>
      </c>
      <c r="B32" s="330" t="s">
        <v>2</v>
      </c>
      <c r="C32" s="331">
        <v>10897213446</v>
      </c>
      <c r="D32" s="331">
        <v>6718220735</v>
      </c>
      <c r="E32" s="331">
        <v>130718749</v>
      </c>
      <c r="F32" s="331">
        <v>166992</v>
      </c>
      <c r="G32" s="370">
        <f t="shared" si="0"/>
        <v>1.5324284582247688E-5</v>
      </c>
      <c r="H32" s="370">
        <f t="shared" si="1"/>
        <v>2.48565813162434E-5</v>
      </c>
      <c r="I32" s="331">
        <v>245403</v>
      </c>
      <c r="J32" s="331">
        <v>0</v>
      </c>
      <c r="K32" s="331">
        <f t="shared" si="2"/>
        <v>245403</v>
      </c>
      <c r="L32" s="199">
        <v>1.9</v>
      </c>
      <c r="M32" s="199">
        <v>2.2599999999999998</v>
      </c>
    </row>
    <row r="33" spans="1:13" ht="15" customHeight="1" x14ac:dyDescent="0.25">
      <c r="A33" s="49">
        <v>2011</v>
      </c>
      <c r="B33" s="330" t="s">
        <v>2</v>
      </c>
      <c r="C33" s="331">
        <v>11391755048</v>
      </c>
      <c r="D33" s="331">
        <v>6964443499</v>
      </c>
      <c r="E33" s="331">
        <v>173398775</v>
      </c>
      <c r="F33" s="331">
        <v>153734</v>
      </c>
      <c r="G33" s="370">
        <f t="shared" si="0"/>
        <v>1.3495198883072051E-5</v>
      </c>
      <c r="H33" s="370">
        <f t="shared" si="1"/>
        <v>2.2074125523751342E-5</v>
      </c>
      <c r="I33" s="331">
        <v>236417</v>
      </c>
      <c r="J33" s="331">
        <v>0</v>
      </c>
      <c r="K33" s="331">
        <f t="shared" si="2"/>
        <v>236417</v>
      </c>
      <c r="L33" s="199">
        <v>2.5</v>
      </c>
      <c r="M33" s="199">
        <v>2.2599999999999998</v>
      </c>
    </row>
    <row r="34" spans="1:13" ht="15" customHeight="1" x14ac:dyDescent="0.25">
      <c r="A34" s="49">
        <v>2012</v>
      </c>
      <c r="B34" s="330" t="s">
        <v>2</v>
      </c>
      <c r="C34" s="331">
        <v>11994543820</v>
      </c>
      <c r="D34" s="331">
        <v>7326231014</v>
      </c>
      <c r="E34" s="331">
        <v>222952527</v>
      </c>
      <c r="F34" s="331">
        <v>99999</v>
      </c>
      <c r="G34" s="370">
        <f t="shared" si="0"/>
        <v>8.3370406995603431E-6</v>
      </c>
      <c r="H34" s="370">
        <f t="shared" si="1"/>
        <v>1.3649446735832893E-5</v>
      </c>
      <c r="I34" s="331">
        <v>275938</v>
      </c>
      <c r="J34" s="331">
        <v>0</v>
      </c>
      <c r="K34" s="331">
        <f t="shared" si="2"/>
        <v>275938</v>
      </c>
      <c r="L34" s="199">
        <v>3.04</v>
      </c>
      <c r="M34" s="199">
        <v>2.2599999999999998</v>
      </c>
    </row>
    <row r="35" spans="1:13" ht="15" customHeight="1" x14ac:dyDescent="0.25">
      <c r="A35" s="49">
        <v>2013</v>
      </c>
      <c r="B35" s="330" t="s">
        <v>2</v>
      </c>
      <c r="C35" s="331">
        <v>12354414497</v>
      </c>
      <c r="D35" s="331">
        <v>7608268133</v>
      </c>
      <c r="E35" s="331">
        <v>253267443</v>
      </c>
      <c r="F35" s="331">
        <v>141255</v>
      </c>
      <c r="G35" s="370">
        <f t="shared" si="0"/>
        <v>1.1433564903808327E-5</v>
      </c>
      <c r="H35" s="370">
        <f t="shared" si="1"/>
        <v>1.8565986047116617E-5</v>
      </c>
      <c r="I35" s="331">
        <v>352537</v>
      </c>
      <c r="J35" s="331">
        <v>0</v>
      </c>
      <c r="K35" s="331">
        <f t="shared" si="2"/>
        <v>352537</v>
      </c>
      <c r="L35" s="199">
        <v>3.33</v>
      </c>
      <c r="M35" s="199">
        <v>2.2599999999999998</v>
      </c>
    </row>
    <row r="36" spans="1:13" x14ac:dyDescent="0.25">
      <c r="A36" s="49">
        <v>2014</v>
      </c>
      <c r="B36" s="330" t="s">
        <v>2</v>
      </c>
      <c r="C36" s="331">
        <v>12806051420</v>
      </c>
      <c r="D36" s="331">
        <v>7744268802</v>
      </c>
      <c r="E36" s="331">
        <v>202594444</v>
      </c>
      <c r="F36" s="331">
        <v>128296</v>
      </c>
      <c r="G36" s="370">
        <f t="shared" si="0"/>
        <v>1.0018388634581947E-5</v>
      </c>
      <c r="H36" s="370">
        <f t="shared" si="1"/>
        <v>1.6566573717956027E-5</v>
      </c>
      <c r="I36" s="331">
        <v>405842</v>
      </c>
      <c r="J36" s="331">
        <v>0</v>
      </c>
      <c r="K36" s="331">
        <f t="shared" si="2"/>
        <v>405842</v>
      </c>
      <c r="L36" s="333">
        <v>2.6160564564556292</v>
      </c>
      <c r="M36" s="199">
        <v>2.2599999999999998</v>
      </c>
    </row>
    <row r="37" spans="1:13" ht="15" customHeight="1" x14ac:dyDescent="0.25">
      <c r="A37" s="49">
        <v>2015</v>
      </c>
      <c r="B37" s="330" t="s">
        <v>2</v>
      </c>
      <c r="C37" s="334">
        <v>13085867000</v>
      </c>
      <c r="D37" s="334">
        <v>8001948000</v>
      </c>
      <c r="E37" s="334">
        <v>157356000</v>
      </c>
      <c r="F37" s="331">
        <v>105372</v>
      </c>
      <c r="G37" s="370">
        <f t="shared" si="0"/>
        <v>8.0523514414444226E-6</v>
      </c>
      <c r="H37" s="370">
        <f t="shared" si="1"/>
        <v>1.3168293520527751E-5</v>
      </c>
      <c r="I37" s="331">
        <v>447613</v>
      </c>
      <c r="J37" s="199">
        <v>0</v>
      </c>
      <c r="K37" s="331">
        <f t="shared" si="2"/>
        <v>447613</v>
      </c>
      <c r="L37" s="199">
        <v>2.2000000000000002</v>
      </c>
      <c r="M37" s="199">
        <v>2.2599999999999998</v>
      </c>
    </row>
    <row r="38" spans="1:13" ht="15" customHeight="1" x14ac:dyDescent="0.25">
      <c r="A38" s="49">
        <v>1980</v>
      </c>
      <c r="B38" s="330" t="s">
        <v>3</v>
      </c>
      <c r="C38" s="331">
        <v>13006982816</v>
      </c>
      <c r="D38" s="331">
        <v>6610136205</v>
      </c>
      <c r="E38" s="331">
        <v>140947633</v>
      </c>
      <c r="F38" s="331">
        <v>176024</v>
      </c>
      <c r="G38" s="370">
        <f t="shared" si="0"/>
        <v>1.3533038560139511E-5</v>
      </c>
      <c r="H38" s="370">
        <f t="shared" si="1"/>
        <v>2.6629405891341993E-5</v>
      </c>
      <c r="I38" s="331">
        <v>85145</v>
      </c>
      <c r="J38" s="331">
        <v>0</v>
      </c>
      <c r="K38" s="331">
        <f t="shared" si="2"/>
        <v>85145</v>
      </c>
      <c r="L38" s="199">
        <v>2.13</v>
      </c>
      <c r="M38" s="199">
        <v>1.69</v>
      </c>
    </row>
    <row r="39" spans="1:13" ht="15" customHeight="1" x14ac:dyDescent="0.25">
      <c r="A39" s="49">
        <v>1981</v>
      </c>
      <c r="B39" s="330" t="s">
        <v>3</v>
      </c>
      <c r="C39" s="331">
        <v>14045095688</v>
      </c>
      <c r="D39" s="331">
        <v>6755461651</v>
      </c>
      <c r="E39" s="331">
        <v>154843764</v>
      </c>
      <c r="F39" s="331">
        <v>152693</v>
      </c>
      <c r="G39" s="370">
        <f t="shared" si="0"/>
        <v>1.0871624045285749E-5</v>
      </c>
      <c r="H39" s="370">
        <f t="shared" si="1"/>
        <v>2.2602896424909334E-5</v>
      </c>
      <c r="I39" s="331">
        <v>91061</v>
      </c>
      <c r="J39" s="331">
        <v>0</v>
      </c>
      <c r="K39" s="331">
        <f t="shared" si="2"/>
        <v>91061</v>
      </c>
      <c r="L39" s="199">
        <v>2.29</v>
      </c>
      <c r="M39" s="199">
        <v>1.69</v>
      </c>
    </row>
    <row r="40" spans="1:13" ht="15" customHeight="1" x14ac:dyDescent="0.25">
      <c r="A40" s="49">
        <v>1982</v>
      </c>
      <c r="B40" s="330" t="s">
        <v>3</v>
      </c>
      <c r="C40" s="331">
        <v>14327102415</v>
      </c>
      <c r="D40" s="331">
        <v>6557184051</v>
      </c>
      <c r="E40" s="331">
        <v>153004578</v>
      </c>
      <c r="F40" s="331">
        <v>224143</v>
      </c>
      <c r="G40" s="370">
        <f t="shared" si="0"/>
        <v>1.5644684703679491E-5</v>
      </c>
      <c r="H40" s="370">
        <f t="shared" si="1"/>
        <v>3.4182813576174853E-5</v>
      </c>
      <c r="I40" s="331">
        <v>9252</v>
      </c>
      <c r="J40" s="331">
        <v>0</v>
      </c>
      <c r="K40" s="331">
        <f t="shared" si="2"/>
        <v>9252</v>
      </c>
      <c r="L40" s="199">
        <v>2.33</v>
      </c>
      <c r="M40" s="199">
        <v>1.78</v>
      </c>
    </row>
    <row r="41" spans="1:13" ht="15" customHeight="1" x14ac:dyDescent="0.25">
      <c r="A41" s="49">
        <v>1983</v>
      </c>
      <c r="B41" s="330" t="s">
        <v>3</v>
      </c>
      <c r="C41" s="331">
        <v>15210748548</v>
      </c>
      <c r="D41" s="331">
        <v>7647779504</v>
      </c>
      <c r="E41" s="331">
        <v>259573463</v>
      </c>
      <c r="F41" s="331">
        <v>182828</v>
      </c>
      <c r="G41" s="370">
        <f t="shared" si="0"/>
        <v>1.2019658297752829E-5</v>
      </c>
      <c r="H41" s="370">
        <f t="shared" si="1"/>
        <v>2.3906023951707277E-5</v>
      </c>
      <c r="I41" s="331">
        <v>55270</v>
      </c>
      <c r="J41" s="331">
        <v>0</v>
      </c>
      <c r="K41" s="331">
        <f t="shared" si="2"/>
        <v>55270</v>
      </c>
      <c r="L41" s="199">
        <v>3.39</v>
      </c>
      <c r="M41" s="199">
        <v>1.78</v>
      </c>
    </row>
    <row r="42" spans="1:13" ht="15" customHeight="1" x14ac:dyDescent="0.25">
      <c r="A42" s="49">
        <v>1984</v>
      </c>
      <c r="B42" s="330" t="s">
        <v>3</v>
      </c>
      <c r="C42" s="331">
        <v>16780209861</v>
      </c>
      <c r="D42" s="331">
        <v>8153543607</v>
      </c>
      <c r="E42" s="331">
        <v>298371757</v>
      </c>
      <c r="F42" s="331">
        <v>163268</v>
      </c>
      <c r="G42" s="370">
        <f t="shared" si="0"/>
        <v>9.7297948805433001E-6</v>
      </c>
      <c r="H42" s="370">
        <f t="shared" si="1"/>
        <v>2.0024176955383025E-5</v>
      </c>
      <c r="I42" s="331">
        <v>203229</v>
      </c>
      <c r="J42" s="331">
        <v>0</v>
      </c>
      <c r="K42" s="331">
        <f t="shared" si="2"/>
        <v>203229</v>
      </c>
      <c r="L42" s="199">
        <v>3.66</v>
      </c>
      <c r="M42" s="199">
        <v>1.78</v>
      </c>
    </row>
    <row r="43" spans="1:13" ht="15" customHeight="1" x14ac:dyDescent="0.25">
      <c r="A43" s="49">
        <v>1985</v>
      </c>
      <c r="B43" s="330" t="s">
        <v>3</v>
      </c>
      <c r="C43" s="331">
        <v>18101117036</v>
      </c>
      <c r="D43" s="331">
        <v>8513249299</v>
      </c>
      <c r="E43" s="331">
        <v>318756491</v>
      </c>
      <c r="F43" s="331">
        <v>163663</v>
      </c>
      <c r="G43" s="370">
        <f t="shared" si="0"/>
        <v>9.0415966967399043E-6</v>
      </c>
      <c r="H43" s="370">
        <f t="shared" si="1"/>
        <v>1.9224504563636414E-5</v>
      </c>
      <c r="I43" s="331">
        <v>387755</v>
      </c>
      <c r="J43" s="331">
        <v>0</v>
      </c>
      <c r="K43" s="331">
        <f t="shared" si="2"/>
        <v>387755</v>
      </c>
      <c r="L43" s="199">
        <v>3.74</v>
      </c>
      <c r="M43" s="199">
        <v>1.78</v>
      </c>
    </row>
    <row r="44" spans="1:13" ht="15" customHeight="1" x14ac:dyDescent="0.25">
      <c r="A44" s="49">
        <v>1986</v>
      </c>
      <c r="B44" s="330" t="s">
        <v>3</v>
      </c>
      <c r="C44" s="331">
        <v>19333318015</v>
      </c>
      <c r="D44" s="331">
        <v>8898428416</v>
      </c>
      <c r="E44" s="331">
        <v>197116309</v>
      </c>
      <c r="F44" s="331">
        <v>180036</v>
      </c>
      <c r="G44" s="370">
        <f t="shared" si="0"/>
        <v>9.3122142748759831E-6</v>
      </c>
      <c r="H44" s="370">
        <f t="shared" si="1"/>
        <v>2.0232336720974527E-5</v>
      </c>
      <c r="I44" s="331">
        <v>460135</v>
      </c>
      <c r="J44" s="331">
        <v>0</v>
      </c>
      <c r="K44" s="331">
        <f t="shared" si="2"/>
        <v>460135</v>
      </c>
      <c r="L44" s="199">
        <v>2.2200000000000002</v>
      </c>
      <c r="M44" s="199">
        <v>1.78</v>
      </c>
    </row>
    <row r="45" spans="1:13" ht="15" customHeight="1" x14ac:dyDescent="0.25">
      <c r="A45" s="49">
        <v>1987</v>
      </c>
      <c r="B45" s="330" t="s">
        <v>3</v>
      </c>
      <c r="C45" s="331">
        <v>20867242033</v>
      </c>
      <c r="D45" s="331">
        <v>9233318583</v>
      </c>
      <c r="E45" s="331">
        <v>158574030</v>
      </c>
      <c r="F45" s="331">
        <v>157683</v>
      </c>
      <c r="G45" s="370">
        <f t="shared" si="0"/>
        <v>7.5564849322510372E-6</v>
      </c>
      <c r="H45" s="370">
        <f t="shared" si="1"/>
        <v>1.7077608509070548E-5</v>
      </c>
      <c r="I45" s="331">
        <v>503754</v>
      </c>
      <c r="J45" s="331">
        <v>0</v>
      </c>
      <c r="K45" s="331">
        <f t="shared" si="2"/>
        <v>503754</v>
      </c>
      <c r="L45" s="199">
        <v>1.72</v>
      </c>
      <c r="M45" s="199">
        <v>1.78</v>
      </c>
    </row>
    <row r="46" spans="1:13" ht="15" customHeight="1" x14ac:dyDescent="0.25">
      <c r="A46" s="49">
        <v>1988</v>
      </c>
      <c r="B46" s="330" t="s">
        <v>3</v>
      </c>
      <c r="C46" s="331">
        <v>22421030370</v>
      </c>
      <c r="D46" s="331">
        <v>9635635516</v>
      </c>
      <c r="E46" s="331">
        <v>158374654</v>
      </c>
      <c r="F46" s="331">
        <v>136918</v>
      </c>
      <c r="G46" s="370">
        <f t="shared" si="0"/>
        <v>6.1066774247449542E-6</v>
      </c>
      <c r="H46" s="370">
        <f t="shared" si="1"/>
        <v>1.420954536653522E-5</v>
      </c>
      <c r="I46" s="331">
        <v>575872</v>
      </c>
      <c r="J46" s="331">
        <v>0</v>
      </c>
      <c r="K46" s="331">
        <f t="shared" si="2"/>
        <v>575872</v>
      </c>
      <c r="L46" s="199">
        <v>1.64</v>
      </c>
      <c r="M46" s="199">
        <v>1.78</v>
      </c>
    </row>
    <row r="47" spans="1:13" ht="15" customHeight="1" x14ac:dyDescent="0.25">
      <c r="A47" s="49">
        <v>1989</v>
      </c>
      <c r="B47" s="330" t="s">
        <v>3</v>
      </c>
      <c r="C47" s="331">
        <v>23748550977</v>
      </c>
      <c r="D47" s="331">
        <v>9982526190</v>
      </c>
      <c r="E47" s="331">
        <v>143901271</v>
      </c>
      <c r="F47" s="331">
        <v>152189</v>
      </c>
      <c r="G47" s="370">
        <f t="shared" si="0"/>
        <v>6.408348877680665E-6</v>
      </c>
      <c r="H47" s="370">
        <f t="shared" si="1"/>
        <v>1.5245539766522767E-5</v>
      </c>
      <c r="I47" s="331">
        <v>622529</v>
      </c>
      <c r="J47" s="331">
        <v>0</v>
      </c>
      <c r="K47" s="331">
        <f t="shared" si="2"/>
        <v>622529</v>
      </c>
      <c r="L47" s="199">
        <v>1.44</v>
      </c>
      <c r="M47" s="199">
        <v>1.78</v>
      </c>
    </row>
    <row r="48" spans="1:13" ht="15" customHeight="1" x14ac:dyDescent="0.25">
      <c r="A48" s="49">
        <v>1990</v>
      </c>
      <c r="B48" s="330" t="s">
        <v>3</v>
      </c>
      <c r="C48" s="331">
        <v>25276024190</v>
      </c>
      <c r="D48" s="331">
        <v>10327697265</v>
      </c>
      <c r="E48" s="331">
        <v>139803847</v>
      </c>
      <c r="F48" s="331">
        <v>177107</v>
      </c>
      <c r="G48" s="370">
        <f t="shared" si="0"/>
        <v>7.0069168579949836E-6</v>
      </c>
      <c r="H48" s="370">
        <f t="shared" si="1"/>
        <v>1.7148740465137948E-5</v>
      </c>
      <c r="I48" s="331">
        <v>637222</v>
      </c>
      <c r="J48" s="331">
        <v>0</v>
      </c>
      <c r="K48" s="331">
        <f t="shared" si="2"/>
        <v>637222</v>
      </c>
      <c r="L48" s="199">
        <v>1.35</v>
      </c>
      <c r="M48" s="199">
        <v>1.78</v>
      </c>
    </row>
    <row r="49" spans="1:13" ht="15" customHeight="1" x14ac:dyDescent="0.25">
      <c r="A49" s="49">
        <v>1991</v>
      </c>
      <c r="B49" s="330" t="s">
        <v>3</v>
      </c>
      <c r="C49" s="331">
        <v>26181551728</v>
      </c>
      <c r="D49" s="331">
        <v>10389980804</v>
      </c>
      <c r="E49" s="331">
        <v>106535821</v>
      </c>
      <c r="F49" s="331">
        <v>216394</v>
      </c>
      <c r="G49" s="370">
        <f t="shared" si="0"/>
        <v>8.2651327258260366E-6</v>
      </c>
      <c r="H49" s="370">
        <f t="shared" si="1"/>
        <v>2.0827179961361553E-5</v>
      </c>
      <c r="I49" s="331">
        <v>585725</v>
      </c>
      <c r="J49" s="331">
        <v>0</v>
      </c>
      <c r="K49" s="331">
        <f t="shared" si="2"/>
        <v>585725</v>
      </c>
      <c r="L49" s="199">
        <v>1.03</v>
      </c>
      <c r="M49" s="199">
        <v>1.78</v>
      </c>
    </row>
    <row r="50" spans="1:13" ht="15" customHeight="1" x14ac:dyDescent="0.25">
      <c r="A50" s="49">
        <v>1992</v>
      </c>
      <c r="B50" s="330" t="s">
        <v>3</v>
      </c>
      <c r="C50" s="331">
        <v>28117175638</v>
      </c>
      <c r="D50" s="331">
        <v>10709003159</v>
      </c>
      <c r="E50" s="331">
        <v>122076834</v>
      </c>
      <c r="F50" s="331">
        <v>201958</v>
      </c>
      <c r="G50" s="370">
        <f t="shared" si="0"/>
        <v>7.182727120253727E-6</v>
      </c>
      <c r="H50" s="370">
        <f t="shared" si="1"/>
        <v>1.8858711403990165E-5</v>
      </c>
      <c r="I50" s="331">
        <v>550280</v>
      </c>
      <c r="J50" s="331">
        <v>0</v>
      </c>
      <c r="K50" s="331">
        <f t="shared" si="2"/>
        <v>550280</v>
      </c>
      <c r="L50" s="199">
        <v>1.1399999999999999</v>
      </c>
      <c r="M50" s="199">
        <v>1.78</v>
      </c>
    </row>
    <row r="51" spans="1:13" ht="15" customHeight="1" x14ac:dyDescent="0.25">
      <c r="A51" s="49">
        <v>1993</v>
      </c>
      <c r="B51" s="330" t="s">
        <v>3</v>
      </c>
      <c r="C51" s="331">
        <v>29431490423</v>
      </c>
      <c r="D51" s="331">
        <v>11070521488</v>
      </c>
      <c r="E51" s="331">
        <v>166478255</v>
      </c>
      <c r="F51" s="331">
        <v>183986</v>
      </c>
      <c r="G51" s="370">
        <f t="shared" si="0"/>
        <v>6.2513313921818708E-6</v>
      </c>
      <c r="H51" s="370">
        <f t="shared" si="1"/>
        <v>1.6619451956209418E-5</v>
      </c>
      <c r="I51" s="331">
        <v>570118</v>
      </c>
      <c r="J51" s="331">
        <v>0</v>
      </c>
      <c r="K51" s="331">
        <f t="shared" si="2"/>
        <v>570118</v>
      </c>
      <c r="L51" s="199">
        <v>1.5</v>
      </c>
      <c r="M51" s="199">
        <v>1.78</v>
      </c>
    </row>
    <row r="52" spans="1:13" ht="15" customHeight="1" x14ac:dyDescent="0.25">
      <c r="A52" s="49">
        <v>1994</v>
      </c>
      <c r="B52" s="330" t="s">
        <v>3</v>
      </c>
      <c r="C52" s="331">
        <v>31178545487</v>
      </c>
      <c r="D52" s="331">
        <v>11542030236</v>
      </c>
      <c r="E52" s="331">
        <v>111937994</v>
      </c>
      <c r="F52" s="331">
        <v>174070</v>
      </c>
      <c r="G52" s="370">
        <f t="shared" si="0"/>
        <v>5.5830057907152556E-6</v>
      </c>
      <c r="H52" s="370">
        <f t="shared" si="1"/>
        <v>1.5081402183219857E-5</v>
      </c>
      <c r="I52" s="331">
        <v>551842</v>
      </c>
      <c r="J52" s="331">
        <v>0</v>
      </c>
      <c r="K52" s="331">
        <f t="shared" si="2"/>
        <v>551842</v>
      </c>
      <c r="L52" s="199">
        <v>0.97</v>
      </c>
      <c r="M52" s="199">
        <v>1.78</v>
      </c>
    </row>
    <row r="53" spans="1:13" ht="15" customHeight="1" x14ac:dyDescent="0.25">
      <c r="A53" s="49">
        <v>1995</v>
      </c>
      <c r="B53" s="330" t="s">
        <v>3</v>
      </c>
      <c r="C53" s="331">
        <v>33297856356</v>
      </c>
      <c r="D53" s="331">
        <v>12043236596</v>
      </c>
      <c r="E53" s="331">
        <v>121634715</v>
      </c>
      <c r="F53" s="331">
        <v>177607</v>
      </c>
      <c r="G53" s="370">
        <f t="shared" si="0"/>
        <v>5.3338869055453979E-6</v>
      </c>
      <c r="H53" s="370">
        <f t="shared" si="1"/>
        <v>1.4747447547363621E-5</v>
      </c>
      <c r="I53" s="331">
        <v>534470</v>
      </c>
      <c r="J53" s="331">
        <v>0</v>
      </c>
      <c r="K53" s="331">
        <f t="shared" si="2"/>
        <v>534470</v>
      </c>
      <c r="L53" s="199">
        <v>1.01</v>
      </c>
      <c r="M53" s="199">
        <v>1.54</v>
      </c>
    </row>
    <row r="54" spans="1:13" ht="15" customHeight="1" x14ac:dyDescent="0.25">
      <c r="A54" s="49">
        <v>1996</v>
      </c>
      <c r="B54" s="330" t="s">
        <v>3</v>
      </c>
      <c r="C54" s="331">
        <v>35098015937</v>
      </c>
      <c r="D54" s="331">
        <v>12348226776</v>
      </c>
      <c r="E54" s="331">
        <v>118553302</v>
      </c>
      <c r="F54" s="331">
        <v>206158</v>
      </c>
      <c r="G54" s="370">
        <f t="shared" si="0"/>
        <v>5.8737793147637778E-6</v>
      </c>
      <c r="H54" s="370">
        <f t="shared" si="1"/>
        <v>1.669535259918359E-5</v>
      </c>
      <c r="I54" s="331">
        <v>483472</v>
      </c>
      <c r="J54" s="331">
        <v>0</v>
      </c>
      <c r="K54" s="331">
        <f t="shared" si="2"/>
        <v>483472</v>
      </c>
      <c r="L54" s="199">
        <v>0.96</v>
      </c>
      <c r="M54" s="199">
        <v>1.49</v>
      </c>
    </row>
    <row r="55" spans="1:13" ht="15" customHeight="1" x14ac:dyDescent="0.25">
      <c r="A55" s="49">
        <v>1997</v>
      </c>
      <c r="B55" s="330" t="s">
        <v>3</v>
      </c>
      <c r="C55" s="331">
        <v>37380103361</v>
      </c>
      <c r="D55" s="331">
        <v>12824650605</v>
      </c>
      <c r="E55" s="331">
        <v>126393812</v>
      </c>
      <c r="F55" s="331">
        <v>187747</v>
      </c>
      <c r="G55" s="370">
        <f t="shared" si="0"/>
        <v>5.022645287703596E-6</v>
      </c>
      <c r="H55" s="370">
        <f t="shared" si="1"/>
        <v>1.4639541129237649E-5</v>
      </c>
      <c r="I55" s="331">
        <v>451425</v>
      </c>
      <c r="J55" s="331">
        <v>0</v>
      </c>
      <c r="K55" s="331">
        <f t="shared" si="2"/>
        <v>451425</v>
      </c>
      <c r="L55" s="199">
        <v>0.98</v>
      </c>
      <c r="M55" s="199">
        <v>1.49</v>
      </c>
    </row>
    <row r="56" spans="1:13" ht="15" customHeight="1" x14ac:dyDescent="0.25">
      <c r="A56" s="49">
        <v>1998</v>
      </c>
      <c r="B56" s="330" t="s">
        <v>3</v>
      </c>
      <c r="C56" s="331">
        <v>39475614885</v>
      </c>
      <c r="D56" s="331">
        <v>13200463066</v>
      </c>
      <c r="E56" s="331">
        <v>175687882</v>
      </c>
      <c r="F56" s="331">
        <v>191465</v>
      </c>
      <c r="G56" s="370">
        <f t="shared" si="0"/>
        <v>4.8502094408858246E-6</v>
      </c>
      <c r="H56" s="370">
        <f t="shared" si="1"/>
        <v>1.4504415416543237E-5</v>
      </c>
      <c r="I56" s="331">
        <v>451571</v>
      </c>
      <c r="J56" s="331">
        <v>0</v>
      </c>
      <c r="K56" s="331">
        <f t="shared" si="2"/>
        <v>451571</v>
      </c>
      <c r="L56" s="199">
        <v>1.33</v>
      </c>
      <c r="M56" s="199">
        <v>1.49</v>
      </c>
    </row>
    <row r="57" spans="1:13" ht="15" customHeight="1" x14ac:dyDescent="0.25">
      <c r="A57" s="49">
        <v>1999</v>
      </c>
      <c r="B57" s="330" t="s">
        <v>3</v>
      </c>
      <c r="C57" s="331">
        <v>41391118149</v>
      </c>
      <c r="D57" s="331">
        <v>13439559305</v>
      </c>
      <c r="E57" s="331">
        <v>148977878</v>
      </c>
      <c r="F57" s="331">
        <v>184955</v>
      </c>
      <c r="G57" s="370">
        <f t="shared" si="0"/>
        <v>4.468470731672381E-6</v>
      </c>
      <c r="H57" s="370">
        <f t="shared" si="1"/>
        <v>1.376198399088801E-5</v>
      </c>
      <c r="I57" s="331">
        <v>444141</v>
      </c>
      <c r="J57" s="331">
        <v>0</v>
      </c>
      <c r="K57" s="331">
        <f t="shared" si="2"/>
        <v>444141</v>
      </c>
      <c r="L57" s="199">
        <v>1.1100000000000001</v>
      </c>
      <c r="M57" s="199">
        <v>1.49</v>
      </c>
    </row>
    <row r="58" spans="1:13" ht="15" customHeight="1" x14ac:dyDescent="0.25">
      <c r="A58" s="49">
        <v>2000</v>
      </c>
      <c r="B58" s="330" t="s">
        <v>3</v>
      </c>
      <c r="C58" s="331">
        <v>42862482739</v>
      </c>
      <c r="D58" s="331">
        <v>13625227648</v>
      </c>
      <c r="E58" s="331">
        <v>145637048</v>
      </c>
      <c r="F58" s="331">
        <v>195492</v>
      </c>
      <c r="G58" s="370">
        <f t="shared" si="0"/>
        <v>4.560911722972231E-6</v>
      </c>
      <c r="H58" s="370">
        <f t="shared" si="1"/>
        <v>1.4347796972676313E-5</v>
      </c>
      <c r="I58" s="331">
        <v>417414</v>
      </c>
      <c r="J58" s="331">
        <v>0</v>
      </c>
      <c r="K58" s="331">
        <f t="shared" si="2"/>
        <v>417414</v>
      </c>
      <c r="L58" s="199">
        <v>1.07</v>
      </c>
      <c r="M58" s="199">
        <v>1.49</v>
      </c>
    </row>
    <row r="59" spans="1:13" ht="15" customHeight="1" x14ac:dyDescent="0.25">
      <c r="A59" s="49">
        <v>2001</v>
      </c>
      <c r="B59" s="330" t="s">
        <v>3</v>
      </c>
      <c r="C59" s="331">
        <v>43720618388</v>
      </c>
      <c r="D59" s="331">
        <v>13350299482</v>
      </c>
      <c r="E59" s="331">
        <v>168826877</v>
      </c>
      <c r="F59" s="331">
        <v>275826</v>
      </c>
      <c r="G59" s="370">
        <f t="shared" si="0"/>
        <v>6.3088311686759213E-6</v>
      </c>
      <c r="H59" s="370">
        <f t="shared" si="1"/>
        <v>2.0660660112673269E-5</v>
      </c>
      <c r="I59" s="331">
        <v>324488</v>
      </c>
      <c r="J59" s="331">
        <v>0</v>
      </c>
      <c r="K59" s="331">
        <f t="shared" si="2"/>
        <v>324488</v>
      </c>
      <c r="L59" s="199">
        <v>1.26</v>
      </c>
      <c r="M59" s="199">
        <v>1.39</v>
      </c>
    </row>
    <row r="60" spans="1:13" ht="15" customHeight="1" x14ac:dyDescent="0.25">
      <c r="A60" s="49">
        <v>2002</v>
      </c>
      <c r="B60" s="330" t="s">
        <v>3</v>
      </c>
      <c r="C60" s="331">
        <v>44389405519</v>
      </c>
      <c r="D60" s="331">
        <v>13119046413</v>
      </c>
      <c r="E60" s="331">
        <v>183740941</v>
      </c>
      <c r="F60" s="331">
        <v>299060</v>
      </c>
      <c r="G60" s="370">
        <f t="shared" si="0"/>
        <v>6.7371931771420845E-6</v>
      </c>
      <c r="H60" s="370">
        <f t="shared" si="1"/>
        <v>2.2795864164612892E-5</v>
      </c>
      <c r="I60" s="331">
        <v>320613</v>
      </c>
      <c r="J60" s="331">
        <v>0</v>
      </c>
      <c r="K60" s="331">
        <f t="shared" si="2"/>
        <v>320613</v>
      </c>
      <c r="L60" s="199">
        <v>1.4</v>
      </c>
      <c r="M60" s="199">
        <v>1.39</v>
      </c>
    </row>
    <row r="61" spans="1:13" ht="15" customHeight="1" x14ac:dyDescent="0.25">
      <c r="A61" s="49">
        <v>2003</v>
      </c>
      <c r="B61" s="330" t="s">
        <v>3</v>
      </c>
      <c r="C61" s="331">
        <v>45667200905</v>
      </c>
      <c r="D61" s="331">
        <v>13064570081</v>
      </c>
      <c r="E61" s="331">
        <v>223436171</v>
      </c>
      <c r="F61" s="331">
        <v>288747</v>
      </c>
      <c r="G61" s="370">
        <f t="shared" si="0"/>
        <v>6.3228530384568796E-6</v>
      </c>
      <c r="H61" s="370">
        <f t="shared" si="1"/>
        <v>2.2101530950484859E-5</v>
      </c>
      <c r="I61" s="331">
        <v>253437</v>
      </c>
      <c r="J61" s="331">
        <v>0</v>
      </c>
      <c r="K61" s="331">
        <f t="shared" si="2"/>
        <v>253437</v>
      </c>
      <c r="L61" s="199">
        <v>1.71</v>
      </c>
      <c r="M61" s="199">
        <v>1.39</v>
      </c>
    </row>
    <row r="62" spans="1:13" ht="15" customHeight="1" x14ac:dyDescent="0.25">
      <c r="A62" s="49">
        <v>2004</v>
      </c>
      <c r="B62" s="330" t="s">
        <v>3</v>
      </c>
      <c r="C62" s="331">
        <v>48314866824</v>
      </c>
      <c r="D62" s="331">
        <v>13460198369</v>
      </c>
      <c r="E62" s="331">
        <v>248607325</v>
      </c>
      <c r="F62" s="331">
        <v>228206</v>
      </c>
      <c r="G62" s="370">
        <f t="shared" si="0"/>
        <v>4.7233080623258722E-6</v>
      </c>
      <c r="H62" s="370">
        <f t="shared" si="1"/>
        <v>1.6954133493721618E-5</v>
      </c>
      <c r="I62" s="331">
        <v>264182</v>
      </c>
      <c r="J62" s="331">
        <v>0</v>
      </c>
      <c r="K62" s="331">
        <f t="shared" si="2"/>
        <v>264182</v>
      </c>
      <c r="L62" s="199">
        <v>1.85</v>
      </c>
      <c r="M62" s="199">
        <v>1.39</v>
      </c>
    </row>
    <row r="63" spans="1:13" ht="15" customHeight="1" x14ac:dyDescent="0.25">
      <c r="A63" s="49">
        <v>2005</v>
      </c>
      <c r="B63" s="330" t="s">
        <v>3</v>
      </c>
      <c r="C63" s="331">
        <v>51396133203</v>
      </c>
      <c r="D63" s="331">
        <v>14067542860</v>
      </c>
      <c r="E63" s="331">
        <v>299023667</v>
      </c>
      <c r="F63" s="331">
        <v>205788</v>
      </c>
      <c r="G63" s="370">
        <f t="shared" si="0"/>
        <v>4.0039588034219688E-6</v>
      </c>
      <c r="H63" s="370">
        <f t="shared" si="1"/>
        <v>1.462856747962309E-5</v>
      </c>
      <c r="I63" s="331">
        <v>373421</v>
      </c>
      <c r="J63" s="331">
        <v>0</v>
      </c>
      <c r="K63" s="331">
        <f t="shared" si="2"/>
        <v>373421</v>
      </c>
      <c r="L63" s="199">
        <v>2.13</v>
      </c>
      <c r="M63" s="199">
        <v>1.39</v>
      </c>
    </row>
    <row r="64" spans="1:13" ht="15" customHeight="1" x14ac:dyDescent="0.25">
      <c r="A64" s="49">
        <v>2006</v>
      </c>
      <c r="B64" s="330" t="s">
        <v>3</v>
      </c>
      <c r="C64" s="331">
        <v>54786916633</v>
      </c>
      <c r="D64" s="331">
        <v>14367839432</v>
      </c>
      <c r="E64" s="331">
        <v>224911262</v>
      </c>
      <c r="F64" s="331">
        <v>196881</v>
      </c>
      <c r="G64" s="370">
        <f t="shared" si="0"/>
        <v>3.5935769358739924E-6</v>
      </c>
      <c r="H64" s="370">
        <f t="shared" si="1"/>
        <v>1.3702895340095975E-5</v>
      </c>
      <c r="I64" s="331">
        <v>417411</v>
      </c>
      <c r="J64" s="331">
        <v>0</v>
      </c>
      <c r="K64" s="331">
        <f t="shared" si="2"/>
        <v>417411</v>
      </c>
      <c r="L64" s="199">
        <v>1.57</v>
      </c>
      <c r="M64" s="199">
        <v>1.39</v>
      </c>
    </row>
    <row r="65" spans="1:13" ht="15" customHeight="1" x14ac:dyDescent="0.25">
      <c r="A65" s="49">
        <v>2007</v>
      </c>
      <c r="B65" s="330" t="s">
        <v>3</v>
      </c>
      <c r="C65" s="331">
        <v>57132576807</v>
      </c>
      <c r="D65" s="331">
        <v>14633478311</v>
      </c>
      <c r="E65" s="331">
        <v>208399666</v>
      </c>
      <c r="F65" s="331">
        <v>209666</v>
      </c>
      <c r="G65" s="370">
        <f t="shared" si="0"/>
        <v>3.6698152213276557E-6</v>
      </c>
      <c r="H65" s="370">
        <f t="shared" si="1"/>
        <v>1.4327830714205102E-5</v>
      </c>
      <c r="I65" s="331">
        <v>410640</v>
      </c>
      <c r="J65" s="331">
        <v>0</v>
      </c>
      <c r="K65" s="331">
        <f t="shared" si="2"/>
        <v>410640</v>
      </c>
      <c r="L65" s="199">
        <v>1.42</v>
      </c>
      <c r="M65" s="199">
        <v>1.39</v>
      </c>
    </row>
    <row r="66" spans="1:13" ht="15" customHeight="1" x14ac:dyDescent="0.25">
      <c r="A66" s="49">
        <v>2008</v>
      </c>
      <c r="B66" s="330" t="s">
        <v>3</v>
      </c>
      <c r="C66" s="331">
        <v>58106573584</v>
      </c>
      <c r="D66" s="331">
        <v>14318143328</v>
      </c>
      <c r="E66" s="331">
        <v>204524427</v>
      </c>
      <c r="F66" s="331">
        <v>299235</v>
      </c>
      <c r="G66" s="370">
        <f t="shared" ref="G66:G129" si="3">F66/C66</f>
        <v>5.149761576758954E-6</v>
      </c>
      <c r="H66" s="370">
        <f t="shared" ref="H66:H129" si="4">F66/D66</f>
        <v>2.0899008561733544E-5</v>
      </c>
      <c r="I66" s="331">
        <v>314100</v>
      </c>
      <c r="J66" s="331">
        <v>0</v>
      </c>
      <c r="K66" s="331">
        <f t="shared" ref="K66:K129" si="5">I66-J66</f>
        <v>314100</v>
      </c>
      <c r="L66" s="199">
        <v>1.4</v>
      </c>
      <c r="M66" s="199">
        <v>1.39</v>
      </c>
    </row>
    <row r="67" spans="1:13" ht="15" customHeight="1" x14ac:dyDescent="0.25">
      <c r="A67" s="49">
        <v>2009</v>
      </c>
      <c r="B67" s="330" t="s">
        <v>3</v>
      </c>
      <c r="C67" s="331">
        <v>54905265634</v>
      </c>
      <c r="D67" s="331">
        <v>13095837129</v>
      </c>
      <c r="E67" s="331">
        <v>195794130</v>
      </c>
      <c r="F67" s="331">
        <v>628125</v>
      </c>
      <c r="G67" s="370">
        <f t="shared" si="3"/>
        <v>1.1440159568430074E-5</v>
      </c>
      <c r="H67" s="370">
        <f t="shared" si="4"/>
        <v>4.7963715019718159E-5</v>
      </c>
      <c r="I67" s="331">
        <v>8947</v>
      </c>
      <c r="J67" s="331">
        <v>146094</v>
      </c>
      <c r="K67" s="331">
        <f t="shared" si="5"/>
        <v>-137147</v>
      </c>
      <c r="L67" s="199">
        <v>1.5</v>
      </c>
      <c r="M67" s="199">
        <v>0.9</v>
      </c>
    </row>
    <row r="68" spans="1:13" ht="15" customHeight="1" x14ac:dyDescent="0.25">
      <c r="A68" s="49">
        <v>2010</v>
      </c>
      <c r="B68" s="330" t="s">
        <v>3</v>
      </c>
      <c r="C68" s="331">
        <v>55441664033</v>
      </c>
      <c r="D68" s="331">
        <v>13174451797</v>
      </c>
      <c r="E68" s="331">
        <v>426813475</v>
      </c>
      <c r="F68" s="331">
        <v>444463</v>
      </c>
      <c r="G68" s="370">
        <f t="shared" si="3"/>
        <v>8.0167687559927246E-6</v>
      </c>
      <c r="H68" s="370">
        <f t="shared" si="4"/>
        <v>3.3736735831483341E-5</v>
      </c>
      <c r="I68" s="331">
        <v>8007</v>
      </c>
      <c r="J68" s="331">
        <v>201849</v>
      </c>
      <c r="K68" s="331">
        <f t="shared" si="5"/>
        <v>-193842</v>
      </c>
      <c r="L68" s="199">
        <v>3.2</v>
      </c>
      <c r="M68" s="199">
        <v>0.92</v>
      </c>
    </row>
    <row r="69" spans="1:13" ht="15" customHeight="1" x14ac:dyDescent="0.25">
      <c r="A69" s="49">
        <v>2011</v>
      </c>
      <c r="B69" s="330" t="s">
        <v>3</v>
      </c>
      <c r="C69" s="331">
        <v>56820547770</v>
      </c>
      <c r="D69" s="331">
        <v>13218483857</v>
      </c>
      <c r="E69" s="331">
        <v>506302777</v>
      </c>
      <c r="F69" s="331">
        <v>352986</v>
      </c>
      <c r="G69" s="370">
        <f t="shared" si="3"/>
        <v>6.2122949153680783E-6</v>
      </c>
      <c r="H69" s="370">
        <f t="shared" si="4"/>
        <v>2.670397027515922E-5</v>
      </c>
      <c r="I69" s="331">
        <v>6951</v>
      </c>
      <c r="J69" s="331">
        <v>32826</v>
      </c>
      <c r="K69" s="331">
        <f t="shared" si="5"/>
        <v>-25875</v>
      </c>
      <c r="L69" s="199">
        <v>3.8</v>
      </c>
      <c r="M69" s="199">
        <v>0.92</v>
      </c>
    </row>
    <row r="70" spans="1:13" ht="15" customHeight="1" x14ac:dyDescent="0.25">
      <c r="A70" s="49">
        <v>2012</v>
      </c>
      <c r="B70" s="330" t="s">
        <v>3</v>
      </c>
      <c r="C70" s="331">
        <v>58845517088</v>
      </c>
      <c r="D70" s="331">
        <v>13423472574</v>
      </c>
      <c r="E70" s="331">
        <v>419685549</v>
      </c>
      <c r="F70" s="331">
        <v>299301</v>
      </c>
      <c r="G70" s="370">
        <f t="shared" si="3"/>
        <v>5.0862158208655558E-6</v>
      </c>
      <c r="H70" s="370">
        <f t="shared" si="4"/>
        <v>2.2296838493171862E-5</v>
      </c>
      <c r="I70" s="331">
        <v>91179</v>
      </c>
      <c r="J70" s="331">
        <v>0</v>
      </c>
      <c r="K70" s="331">
        <f t="shared" si="5"/>
        <v>91179</v>
      </c>
      <c r="L70" s="199">
        <v>3.13</v>
      </c>
      <c r="M70" s="199">
        <v>0.92</v>
      </c>
    </row>
    <row r="71" spans="1:13" x14ac:dyDescent="0.25">
      <c r="A71" s="49">
        <v>2013</v>
      </c>
      <c r="B71" s="330" t="s">
        <v>3</v>
      </c>
      <c r="C71" s="331">
        <v>60045645618</v>
      </c>
      <c r="D71" s="331">
        <v>13613643816</v>
      </c>
      <c r="E71" s="331">
        <v>386616329</v>
      </c>
      <c r="F71" s="331">
        <v>272688</v>
      </c>
      <c r="G71" s="370">
        <f t="shared" si="3"/>
        <v>4.5413451249203621E-6</v>
      </c>
      <c r="H71" s="370">
        <f t="shared" si="4"/>
        <v>2.0030493208549508E-5</v>
      </c>
      <c r="I71" s="331">
        <v>223622</v>
      </c>
      <c r="J71" s="331">
        <v>0</v>
      </c>
      <c r="K71" s="331">
        <f t="shared" si="5"/>
        <v>223622</v>
      </c>
      <c r="L71" s="199">
        <v>2.84</v>
      </c>
      <c r="M71" s="199">
        <v>0.92</v>
      </c>
    </row>
    <row r="72" spans="1:13" ht="15" customHeight="1" x14ac:dyDescent="0.25">
      <c r="A72" s="49">
        <v>2014</v>
      </c>
      <c r="B72" s="330" t="s">
        <v>3</v>
      </c>
      <c r="C72" s="331">
        <v>62256938787</v>
      </c>
      <c r="D72" s="331">
        <v>13915895692</v>
      </c>
      <c r="E72" s="331">
        <v>316062548</v>
      </c>
      <c r="F72" s="331">
        <v>231273</v>
      </c>
      <c r="G72" s="370">
        <f t="shared" si="3"/>
        <v>3.7148148384111136E-6</v>
      </c>
      <c r="H72" s="370">
        <f t="shared" si="4"/>
        <v>1.6619339862755273E-5</v>
      </c>
      <c r="I72" s="331">
        <v>329082</v>
      </c>
      <c r="J72" s="331">
        <v>0</v>
      </c>
      <c r="K72" s="331">
        <f t="shared" si="5"/>
        <v>329082</v>
      </c>
      <c r="L72" s="333">
        <v>2.2712339542879638</v>
      </c>
      <c r="M72" s="199">
        <v>0.92</v>
      </c>
    </row>
    <row r="73" spans="1:13" ht="15" customHeight="1" x14ac:dyDescent="0.25">
      <c r="A73" s="49">
        <v>2015</v>
      </c>
      <c r="B73" s="330" t="s">
        <v>3</v>
      </c>
      <c r="C73" s="334">
        <v>64919172000</v>
      </c>
      <c r="D73" s="334">
        <v>14289391000</v>
      </c>
      <c r="E73" s="334">
        <v>313531000</v>
      </c>
      <c r="F73" s="331">
        <v>193011</v>
      </c>
      <c r="G73" s="370">
        <f t="shared" si="3"/>
        <v>2.9730970690753726E-6</v>
      </c>
      <c r="H73" s="370">
        <f t="shared" si="4"/>
        <v>1.3507293627839002E-5</v>
      </c>
      <c r="I73" s="331">
        <v>445381</v>
      </c>
      <c r="J73" s="199">
        <v>0</v>
      </c>
      <c r="K73" s="331">
        <f t="shared" si="5"/>
        <v>445381</v>
      </c>
      <c r="L73" s="199">
        <v>2.1</v>
      </c>
      <c r="M73" s="199">
        <v>0.92</v>
      </c>
    </row>
    <row r="74" spans="1:13" ht="15" customHeight="1" x14ac:dyDescent="0.25">
      <c r="A74" s="49">
        <v>1980</v>
      </c>
      <c r="B74" s="330" t="s">
        <v>4</v>
      </c>
      <c r="C74" s="331">
        <v>6898616367</v>
      </c>
      <c r="D74" s="331">
        <v>3588455182</v>
      </c>
      <c r="E74" s="331">
        <v>67964249</v>
      </c>
      <c r="F74" s="331">
        <v>113321</v>
      </c>
      <c r="G74" s="370">
        <f t="shared" si="3"/>
        <v>1.6426627307771265E-5</v>
      </c>
      <c r="H74" s="370">
        <f t="shared" si="4"/>
        <v>3.1579327106669154E-5</v>
      </c>
      <c r="I74" s="331">
        <v>5610</v>
      </c>
      <c r="J74" s="331">
        <v>29200</v>
      </c>
      <c r="K74" s="331">
        <f t="shared" si="5"/>
        <v>-23590</v>
      </c>
      <c r="L74" s="199">
        <v>1.89</v>
      </c>
      <c r="M74" s="199">
        <v>2.0299999999999998</v>
      </c>
    </row>
    <row r="75" spans="1:13" ht="15" customHeight="1" x14ac:dyDescent="0.25">
      <c r="A75" s="49">
        <v>1981</v>
      </c>
      <c r="B75" s="330" t="s">
        <v>4</v>
      </c>
      <c r="C75" s="331">
        <v>7544554818</v>
      </c>
      <c r="D75" s="331">
        <v>4042053815</v>
      </c>
      <c r="E75" s="331">
        <v>96119790</v>
      </c>
      <c r="F75" s="331">
        <v>98381</v>
      </c>
      <c r="G75" s="370">
        <f t="shared" si="3"/>
        <v>1.3040000685697185E-5</v>
      </c>
      <c r="H75" s="370">
        <f t="shared" si="4"/>
        <v>2.4339359271989307E-5</v>
      </c>
      <c r="I75" s="331">
        <v>32137</v>
      </c>
      <c r="J75" s="331">
        <v>64000</v>
      </c>
      <c r="K75" s="331">
        <f t="shared" si="5"/>
        <v>-31863</v>
      </c>
      <c r="L75" s="199">
        <v>2.38</v>
      </c>
      <c r="M75" s="199">
        <v>1.95</v>
      </c>
    </row>
    <row r="76" spans="1:13" ht="15" customHeight="1" x14ac:dyDescent="0.25">
      <c r="A76" s="49">
        <v>1982</v>
      </c>
      <c r="B76" s="330" t="s">
        <v>4</v>
      </c>
      <c r="C76" s="331">
        <v>7711934272</v>
      </c>
      <c r="D76" s="331">
        <v>3927880615</v>
      </c>
      <c r="E76" s="331">
        <v>97500548</v>
      </c>
      <c r="F76" s="331">
        <v>137122</v>
      </c>
      <c r="G76" s="370">
        <f t="shared" si="3"/>
        <v>1.7780493863628197E-5</v>
      </c>
      <c r="H76" s="370">
        <f t="shared" si="4"/>
        <v>3.4909920499200308E-5</v>
      </c>
      <c r="I76" s="331">
        <v>0</v>
      </c>
      <c r="J76" s="331">
        <v>77042</v>
      </c>
      <c r="K76" s="331">
        <f t="shared" si="5"/>
        <v>-77042</v>
      </c>
      <c r="L76" s="199">
        <v>2.48</v>
      </c>
      <c r="M76" s="199">
        <v>2.09</v>
      </c>
    </row>
    <row r="77" spans="1:13" ht="15" customHeight="1" x14ac:dyDescent="0.25">
      <c r="A77" s="49">
        <v>1983</v>
      </c>
      <c r="B77" s="330" t="s">
        <v>4</v>
      </c>
      <c r="C77" s="331">
        <v>8325126603</v>
      </c>
      <c r="D77" s="331">
        <v>4305113037</v>
      </c>
      <c r="E77" s="331">
        <v>139905230</v>
      </c>
      <c r="F77" s="331">
        <v>108995</v>
      </c>
      <c r="G77" s="370">
        <f t="shared" si="3"/>
        <v>1.3092293390556141E-5</v>
      </c>
      <c r="H77" s="370">
        <f t="shared" si="4"/>
        <v>2.5317569843869352E-5</v>
      </c>
      <c r="I77" s="331">
        <v>29172</v>
      </c>
      <c r="J77" s="331">
        <v>85540</v>
      </c>
      <c r="K77" s="331">
        <f t="shared" si="5"/>
        <v>-56368</v>
      </c>
      <c r="L77" s="199">
        <v>3.25</v>
      </c>
      <c r="M77" s="199">
        <v>2.09</v>
      </c>
    </row>
    <row r="78" spans="1:13" ht="15" customHeight="1" x14ac:dyDescent="0.25">
      <c r="A78" s="49">
        <v>1984</v>
      </c>
      <c r="B78" s="330" t="s">
        <v>4</v>
      </c>
      <c r="C78" s="331">
        <v>9180292318</v>
      </c>
      <c r="D78" s="331">
        <v>4626142723</v>
      </c>
      <c r="E78" s="331">
        <v>176251695</v>
      </c>
      <c r="F78" s="331">
        <v>87337</v>
      </c>
      <c r="G78" s="370">
        <f t="shared" si="3"/>
        <v>9.5135314840417917E-6</v>
      </c>
      <c r="H78" s="370">
        <f t="shared" si="4"/>
        <v>1.8879011139406214E-5</v>
      </c>
      <c r="I78" s="331">
        <v>42003</v>
      </c>
      <c r="J78" s="331">
        <v>0</v>
      </c>
      <c r="K78" s="331">
        <f t="shared" si="5"/>
        <v>42003</v>
      </c>
      <c r="L78" s="199">
        <v>3.81</v>
      </c>
      <c r="M78" s="199">
        <v>2.09</v>
      </c>
    </row>
    <row r="79" spans="1:13" ht="15" customHeight="1" x14ac:dyDescent="0.25">
      <c r="A79" s="49">
        <v>1985</v>
      </c>
      <c r="B79" s="330" t="s">
        <v>4</v>
      </c>
      <c r="C79" s="331">
        <v>9675120910</v>
      </c>
      <c r="D79" s="331">
        <v>4756442061</v>
      </c>
      <c r="E79" s="331">
        <v>127422983</v>
      </c>
      <c r="F79" s="331">
        <v>109734</v>
      </c>
      <c r="G79" s="370">
        <f t="shared" si="3"/>
        <v>1.134187376269182E-5</v>
      </c>
      <c r="H79" s="370">
        <f t="shared" si="4"/>
        <v>2.3070605842075452E-5</v>
      </c>
      <c r="I79" s="331">
        <v>90990</v>
      </c>
      <c r="J79" s="331">
        <v>0</v>
      </c>
      <c r="K79" s="331">
        <f t="shared" si="5"/>
        <v>90990</v>
      </c>
      <c r="L79" s="199">
        <v>2.68</v>
      </c>
      <c r="M79" s="199">
        <v>2.09</v>
      </c>
    </row>
    <row r="80" spans="1:13" ht="15" customHeight="1" x14ac:dyDescent="0.25">
      <c r="A80" s="49">
        <v>1986</v>
      </c>
      <c r="B80" s="330" t="s">
        <v>4</v>
      </c>
      <c r="C80" s="331">
        <v>10239423892</v>
      </c>
      <c r="D80" s="331">
        <v>4879215842</v>
      </c>
      <c r="E80" s="331">
        <v>115534637</v>
      </c>
      <c r="F80" s="331">
        <v>123886</v>
      </c>
      <c r="G80" s="370">
        <f t="shared" si="3"/>
        <v>1.20989228795178E-5</v>
      </c>
      <c r="H80" s="370">
        <f t="shared" si="4"/>
        <v>2.5390555370311079E-5</v>
      </c>
      <c r="I80" s="331">
        <v>98244</v>
      </c>
      <c r="J80" s="331">
        <v>0</v>
      </c>
      <c r="K80" s="331">
        <f t="shared" si="5"/>
        <v>98244</v>
      </c>
      <c r="L80" s="199">
        <v>2.37</v>
      </c>
      <c r="M80" s="199">
        <v>2.09</v>
      </c>
    </row>
    <row r="81" spans="1:13" ht="15" customHeight="1" x14ac:dyDescent="0.25">
      <c r="A81" s="49">
        <v>1987</v>
      </c>
      <c r="B81" s="330" t="s">
        <v>4</v>
      </c>
      <c r="C81" s="331">
        <v>10808751376</v>
      </c>
      <c r="D81" s="331">
        <v>5006114430</v>
      </c>
      <c r="E81" s="331">
        <v>119257046</v>
      </c>
      <c r="F81" s="331">
        <v>122376</v>
      </c>
      <c r="G81" s="370">
        <f t="shared" si="3"/>
        <v>1.1321936803146984E-5</v>
      </c>
      <c r="H81" s="370">
        <f t="shared" si="4"/>
        <v>2.4445306177310055E-5</v>
      </c>
      <c r="I81" s="331">
        <v>100701</v>
      </c>
      <c r="J81" s="331">
        <v>0</v>
      </c>
      <c r="K81" s="331">
        <f t="shared" si="5"/>
        <v>100701</v>
      </c>
      <c r="L81" s="199">
        <v>2.38</v>
      </c>
      <c r="M81" s="199">
        <v>2.09</v>
      </c>
    </row>
    <row r="82" spans="1:13" ht="15" customHeight="1" x14ac:dyDescent="0.25">
      <c r="A82" s="49">
        <v>1988</v>
      </c>
      <c r="B82" s="330" t="s">
        <v>4</v>
      </c>
      <c r="C82" s="331">
        <v>11528763254</v>
      </c>
      <c r="D82" s="331">
        <v>5212091931</v>
      </c>
      <c r="E82" s="331">
        <v>123418113</v>
      </c>
      <c r="F82" s="331">
        <v>114329</v>
      </c>
      <c r="G82" s="370">
        <f t="shared" si="3"/>
        <v>9.9168486229719915E-6</v>
      </c>
      <c r="H82" s="370">
        <f t="shared" si="4"/>
        <v>2.1935338346586811E-5</v>
      </c>
      <c r="I82" s="331">
        <v>118895</v>
      </c>
      <c r="J82" s="331">
        <v>0</v>
      </c>
      <c r="K82" s="331">
        <f t="shared" si="5"/>
        <v>118895</v>
      </c>
      <c r="L82" s="199">
        <v>2.37</v>
      </c>
      <c r="M82" s="199">
        <v>2.09</v>
      </c>
    </row>
    <row r="83" spans="1:13" ht="15" customHeight="1" x14ac:dyDescent="0.25">
      <c r="A83" s="49">
        <v>1989</v>
      </c>
      <c r="B83" s="330" t="s">
        <v>4</v>
      </c>
      <c r="C83" s="331">
        <v>12105671456</v>
      </c>
      <c r="D83" s="331">
        <v>5371922251</v>
      </c>
      <c r="E83" s="331">
        <v>115363784</v>
      </c>
      <c r="F83" s="331">
        <v>119477</v>
      </c>
      <c r="G83" s="370">
        <f t="shared" si="3"/>
        <v>9.8695062421162084E-6</v>
      </c>
      <c r="H83" s="370">
        <f t="shared" si="4"/>
        <v>2.2241014373906656E-5</v>
      </c>
      <c r="I83" s="331">
        <v>131305</v>
      </c>
      <c r="J83" s="331">
        <v>0</v>
      </c>
      <c r="K83" s="331">
        <f t="shared" si="5"/>
        <v>131305</v>
      </c>
      <c r="L83" s="199">
        <v>2.15</v>
      </c>
      <c r="M83" s="199">
        <v>2.09</v>
      </c>
    </row>
    <row r="84" spans="1:13" ht="15" customHeight="1" x14ac:dyDescent="0.25">
      <c r="A84" s="49">
        <v>1990</v>
      </c>
      <c r="B84" s="330" t="s">
        <v>4</v>
      </c>
      <c r="C84" s="331">
        <v>12999549821</v>
      </c>
      <c r="D84" s="331">
        <v>5751261317</v>
      </c>
      <c r="E84" s="331">
        <v>118504975</v>
      </c>
      <c r="F84" s="331">
        <v>130216</v>
      </c>
      <c r="G84" s="370">
        <f t="shared" si="3"/>
        <v>1.001696226354268E-5</v>
      </c>
      <c r="H84" s="370">
        <f t="shared" si="4"/>
        <v>2.2641294287063257E-5</v>
      </c>
      <c r="I84" s="331">
        <v>135172</v>
      </c>
      <c r="J84" s="331">
        <v>0</v>
      </c>
      <c r="K84" s="331">
        <f t="shared" si="5"/>
        <v>135172</v>
      </c>
      <c r="L84" s="199">
        <v>2.06</v>
      </c>
      <c r="M84" s="199">
        <v>2.09</v>
      </c>
    </row>
    <row r="85" spans="1:13" ht="15" customHeight="1" x14ac:dyDescent="0.25">
      <c r="A85" s="49">
        <v>1991</v>
      </c>
      <c r="B85" s="330" t="s">
        <v>4</v>
      </c>
      <c r="C85" s="331">
        <v>13599499493</v>
      </c>
      <c r="D85" s="331">
        <v>5957867586</v>
      </c>
      <c r="E85" s="331">
        <v>118760109</v>
      </c>
      <c r="F85" s="331">
        <v>166150</v>
      </c>
      <c r="G85" s="370">
        <f t="shared" si="3"/>
        <v>1.2217361387860011E-5</v>
      </c>
      <c r="H85" s="370">
        <f t="shared" si="4"/>
        <v>2.7887494577829309E-5</v>
      </c>
      <c r="I85" s="331">
        <v>103629</v>
      </c>
      <c r="J85" s="331">
        <v>0</v>
      </c>
      <c r="K85" s="331">
        <f t="shared" si="5"/>
        <v>103629</v>
      </c>
      <c r="L85" s="199">
        <v>1.99</v>
      </c>
      <c r="M85" s="199">
        <v>2.09</v>
      </c>
    </row>
    <row r="86" spans="1:13" ht="15" customHeight="1" x14ac:dyDescent="0.25">
      <c r="A86" s="49">
        <v>1992</v>
      </c>
      <c r="B86" s="330" t="s">
        <v>4</v>
      </c>
      <c r="C86" s="331">
        <v>14805983290</v>
      </c>
      <c r="D86" s="331">
        <v>6180939855</v>
      </c>
      <c r="E86" s="331">
        <v>145966177</v>
      </c>
      <c r="F86" s="331">
        <v>172543</v>
      </c>
      <c r="G86" s="370">
        <f t="shared" si="3"/>
        <v>1.1653599536110243E-5</v>
      </c>
      <c r="H86" s="370">
        <f t="shared" si="4"/>
        <v>2.7915333921332906E-5</v>
      </c>
      <c r="I86" s="331">
        <v>81340</v>
      </c>
      <c r="J86" s="331">
        <v>0</v>
      </c>
      <c r="K86" s="331">
        <f t="shared" si="5"/>
        <v>81340</v>
      </c>
      <c r="L86" s="199">
        <v>2.36</v>
      </c>
      <c r="M86" s="199">
        <v>2.09</v>
      </c>
    </row>
    <row r="87" spans="1:13" ht="15" customHeight="1" x14ac:dyDescent="0.25">
      <c r="A87" s="49">
        <v>1993</v>
      </c>
      <c r="B87" s="330" t="s">
        <v>4</v>
      </c>
      <c r="C87" s="331">
        <v>15476678404</v>
      </c>
      <c r="D87" s="331">
        <v>6707789835</v>
      </c>
      <c r="E87" s="331">
        <v>193113216</v>
      </c>
      <c r="F87" s="331">
        <v>148597</v>
      </c>
      <c r="G87" s="370">
        <f t="shared" si="3"/>
        <v>9.6013495997690694E-6</v>
      </c>
      <c r="H87" s="370">
        <f t="shared" si="4"/>
        <v>2.2152900382276214E-5</v>
      </c>
      <c r="I87" s="331">
        <v>134432</v>
      </c>
      <c r="J87" s="331">
        <v>0</v>
      </c>
      <c r="K87" s="331">
        <f t="shared" si="5"/>
        <v>134432</v>
      </c>
      <c r="L87" s="199">
        <v>2.88</v>
      </c>
      <c r="M87" s="199">
        <v>2.09</v>
      </c>
    </row>
    <row r="88" spans="1:13" ht="15" customHeight="1" x14ac:dyDescent="0.25">
      <c r="A88" s="49">
        <v>1994</v>
      </c>
      <c r="B88" s="330" t="s">
        <v>4</v>
      </c>
      <c r="C88" s="331">
        <v>16668564746</v>
      </c>
      <c r="D88" s="331">
        <v>7425105759</v>
      </c>
      <c r="E88" s="331">
        <v>157710546</v>
      </c>
      <c r="F88" s="331">
        <v>146271</v>
      </c>
      <c r="G88" s="370">
        <f t="shared" si="3"/>
        <v>8.7752606315490388E-6</v>
      </c>
      <c r="H88" s="370">
        <f t="shared" si="4"/>
        <v>1.9699517387035781E-5</v>
      </c>
      <c r="I88" s="331">
        <v>169795</v>
      </c>
      <c r="J88" s="331">
        <v>0</v>
      </c>
      <c r="K88" s="331">
        <f t="shared" si="5"/>
        <v>169795</v>
      </c>
      <c r="L88" s="199">
        <v>2.12</v>
      </c>
      <c r="M88" s="199">
        <v>2.09</v>
      </c>
    </row>
    <row r="89" spans="1:13" ht="15" customHeight="1" x14ac:dyDescent="0.25">
      <c r="A89" s="49">
        <v>1995</v>
      </c>
      <c r="B89" s="330" t="s">
        <v>4</v>
      </c>
      <c r="C89" s="331">
        <v>17887019687</v>
      </c>
      <c r="D89" s="331">
        <v>7817421753</v>
      </c>
      <c r="E89" s="331">
        <v>156966970</v>
      </c>
      <c r="F89" s="331">
        <v>155585</v>
      </c>
      <c r="G89" s="370">
        <f t="shared" si="3"/>
        <v>8.6982070083523581E-6</v>
      </c>
      <c r="H89" s="370">
        <f t="shared" si="4"/>
        <v>1.9902341835438645E-5</v>
      </c>
      <c r="I89" s="331">
        <v>200866</v>
      </c>
      <c r="J89" s="331">
        <v>0</v>
      </c>
      <c r="K89" s="331">
        <f t="shared" si="5"/>
        <v>200866</v>
      </c>
      <c r="L89" s="199">
        <v>2.0099999999999998</v>
      </c>
      <c r="M89" s="199">
        <v>1.67</v>
      </c>
    </row>
    <row r="90" spans="1:13" ht="15" customHeight="1" x14ac:dyDescent="0.25">
      <c r="A90" s="49">
        <v>1996</v>
      </c>
      <c r="B90" s="330" t="s">
        <v>4</v>
      </c>
      <c r="C90" s="331">
        <v>18780778179</v>
      </c>
      <c r="D90" s="331">
        <v>7993176348</v>
      </c>
      <c r="E90" s="331">
        <v>155415398</v>
      </c>
      <c r="F90" s="331">
        <v>174152</v>
      </c>
      <c r="G90" s="370">
        <f t="shared" si="3"/>
        <v>9.2728851989067527E-6</v>
      </c>
      <c r="H90" s="370">
        <f t="shared" si="4"/>
        <v>2.1787583861273768E-5</v>
      </c>
      <c r="I90" s="331">
        <v>202784</v>
      </c>
      <c r="J90" s="331">
        <v>0</v>
      </c>
      <c r="K90" s="331">
        <f t="shared" si="5"/>
        <v>202784</v>
      </c>
      <c r="L90" s="199">
        <v>1.94</v>
      </c>
      <c r="M90" s="199">
        <v>1.64</v>
      </c>
    </row>
    <row r="91" spans="1:13" ht="15" customHeight="1" x14ac:dyDescent="0.25">
      <c r="A91" s="49">
        <v>1997</v>
      </c>
      <c r="B91" s="330" t="s">
        <v>4</v>
      </c>
      <c r="C91" s="331">
        <v>19989962240</v>
      </c>
      <c r="D91" s="331">
        <v>8262335123</v>
      </c>
      <c r="E91" s="331">
        <v>166898358</v>
      </c>
      <c r="F91" s="331">
        <v>173947</v>
      </c>
      <c r="G91" s="370">
        <f t="shared" si="3"/>
        <v>8.7017172874859824E-6</v>
      </c>
      <c r="H91" s="370">
        <f t="shared" si="4"/>
        <v>2.1053007099140875E-5</v>
      </c>
      <c r="I91" s="331">
        <v>204319</v>
      </c>
      <c r="J91" s="331">
        <v>0</v>
      </c>
      <c r="K91" s="331">
        <f t="shared" si="5"/>
        <v>204319</v>
      </c>
      <c r="L91" s="199">
        <v>2.02</v>
      </c>
      <c r="M91" s="199">
        <v>1.64</v>
      </c>
    </row>
    <row r="92" spans="1:13" ht="15" customHeight="1" x14ac:dyDescent="0.25">
      <c r="A92" s="49">
        <v>1998</v>
      </c>
      <c r="B92" s="330" t="s">
        <v>4</v>
      </c>
      <c r="C92" s="331">
        <v>21385509280</v>
      </c>
      <c r="D92" s="331">
        <v>8555281726</v>
      </c>
      <c r="E92" s="331">
        <v>173234697</v>
      </c>
      <c r="F92" s="331">
        <v>167267</v>
      </c>
      <c r="G92" s="370">
        <f t="shared" si="3"/>
        <v>7.8215111835765457E-6</v>
      </c>
      <c r="H92" s="370">
        <f t="shared" si="4"/>
        <v>1.9551314072062153E-5</v>
      </c>
      <c r="I92" s="331">
        <v>221853</v>
      </c>
      <c r="J92" s="331">
        <v>0</v>
      </c>
      <c r="K92" s="331">
        <f t="shared" si="5"/>
        <v>221853</v>
      </c>
      <c r="L92" s="199">
        <v>2.02</v>
      </c>
      <c r="M92" s="199">
        <v>1.64</v>
      </c>
    </row>
    <row r="93" spans="1:13" ht="15" customHeight="1" x14ac:dyDescent="0.25">
      <c r="A93" s="49">
        <v>1999</v>
      </c>
      <c r="B93" s="330" t="s">
        <v>4</v>
      </c>
      <c r="C93" s="331">
        <v>22648166191</v>
      </c>
      <c r="D93" s="331">
        <v>8807531185</v>
      </c>
      <c r="E93" s="331">
        <v>171418921</v>
      </c>
      <c r="F93" s="331">
        <v>153183</v>
      </c>
      <c r="G93" s="370">
        <f t="shared" si="3"/>
        <v>6.7635939575925732E-6</v>
      </c>
      <c r="H93" s="370">
        <f t="shared" si="4"/>
        <v>1.739227449581832E-5</v>
      </c>
      <c r="I93" s="331">
        <v>242270</v>
      </c>
      <c r="J93" s="331">
        <v>0</v>
      </c>
      <c r="K93" s="331">
        <f t="shared" si="5"/>
        <v>242270</v>
      </c>
      <c r="L93" s="199">
        <v>1.95</v>
      </c>
      <c r="M93" s="199">
        <v>1.64</v>
      </c>
    </row>
    <row r="94" spans="1:13" ht="15" customHeight="1" x14ac:dyDescent="0.25">
      <c r="A94" s="49">
        <v>2000</v>
      </c>
      <c r="B94" s="330" t="s">
        <v>4</v>
      </c>
      <c r="C94" s="331">
        <v>23852762655</v>
      </c>
      <c r="D94" s="331">
        <v>9047883728</v>
      </c>
      <c r="E94" s="331">
        <v>172451115</v>
      </c>
      <c r="F94" s="331">
        <v>168301</v>
      </c>
      <c r="G94" s="370">
        <f t="shared" si="3"/>
        <v>7.0558283933085989E-6</v>
      </c>
      <c r="H94" s="370">
        <f t="shared" si="4"/>
        <v>1.8601145313038E-5</v>
      </c>
      <c r="I94" s="331">
        <v>267932</v>
      </c>
      <c r="J94" s="331">
        <v>0</v>
      </c>
      <c r="K94" s="331">
        <f t="shared" si="5"/>
        <v>267932</v>
      </c>
      <c r="L94" s="199">
        <v>1.91</v>
      </c>
      <c r="M94" s="199">
        <v>1.64</v>
      </c>
    </row>
    <row r="95" spans="1:13" ht="15" customHeight="1" x14ac:dyDescent="0.25">
      <c r="A95" s="49">
        <v>2001</v>
      </c>
      <c r="B95" s="330" t="s">
        <v>4</v>
      </c>
      <c r="C95" s="331">
        <v>24468570991</v>
      </c>
      <c r="D95" s="331">
        <v>9003120842</v>
      </c>
      <c r="E95" s="331">
        <v>157899003</v>
      </c>
      <c r="F95" s="331">
        <v>266384</v>
      </c>
      <c r="G95" s="370">
        <f t="shared" si="3"/>
        <v>1.0886782072315585E-5</v>
      </c>
      <c r="H95" s="370">
        <f t="shared" si="4"/>
        <v>2.9587962293842107E-5</v>
      </c>
      <c r="I95" s="331">
        <v>179199</v>
      </c>
      <c r="J95" s="331">
        <v>0</v>
      </c>
      <c r="K95" s="331">
        <f t="shared" si="5"/>
        <v>179199</v>
      </c>
      <c r="L95" s="199">
        <v>1.75</v>
      </c>
      <c r="M95" s="199">
        <v>1.52</v>
      </c>
    </row>
    <row r="96" spans="1:13" ht="15" customHeight="1" x14ac:dyDescent="0.25">
      <c r="A96" s="49">
        <v>2002</v>
      </c>
      <c r="B96" s="330" t="s">
        <v>4</v>
      </c>
      <c r="C96" s="331">
        <v>24864381231</v>
      </c>
      <c r="D96" s="331">
        <v>8889434805</v>
      </c>
      <c r="E96" s="331">
        <v>169476551</v>
      </c>
      <c r="F96" s="331">
        <v>292729</v>
      </c>
      <c r="G96" s="370">
        <f t="shared" si="3"/>
        <v>1.1773025730277825E-5</v>
      </c>
      <c r="H96" s="370">
        <f t="shared" si="4"/>
        <v>3.292999008613574E-5</v>
      </c>
      <c r="I96" s="331">
        <v>123877</v>
      </c>
      <c r="J96" s="331">
        <v>0</v>
      </c>
      <c r="K96" s="331">
        <f t="shared" si="5"/>
        <v>123877</v>
      </c>
      <c r="L96" s="199">
        <v>1.91</v>
      </c>
      <c r="M96" s="199">
        <v>1.52</v>
      </c>
    </row>
    <row r="97" spans="1:13" ht="15" customHeight="1" x14ac:dyDescent="0.25">
      <c r="A97" s="49">
        <v>2003</v>
      </c>
      <c r="B97" s="330" t="s">
        <v>4</v>
      </c>
      <c r="C97" s="331">
        <v>25371008454</v>
      </c>
      <c r="D97" s="331">
        <v>9155643471</v>
      </c>
      <c r="E97" s="331">
        <v>217137022</v>
      </c>
      <c r="F97" s="331">
        <v>285476</v>
      </c>
      <c r="G97" s="370">
        <f t="shared" si="3"/>
        <v>1.1252055688586229E-5</v>
      </c>
      <c r="H97" s="370">
        <f t="shared" si="4"/>
        <v>3.1180331661475203E-5</v>
      </c>
      <c r="I97" s="331">
        <v>61109</v>
      </c>
      <c r="J97" s="331">
        <v>0</v>
      </c>
      <c r="K97" s="331">
        <f t="shared" si="5"/>
        <v>61109</v>
      </c>
      <c r="L97" s="199">
        <v>2.37</v>
      </c>
      <c r="M97" s="199">
        <v>1.52</v>
      </c>
    </row>
    <row r="98" spans="1:13" ht="15" customHeight="1" x14ac:dyDescent="0.25">
      <c r="A98" s="49">
        <v>2004</v>
      </c>
      <c r="B98" s="330" t="s">
        <v>4</v>
      </c>
      <c r="C98" s="331">
        <v>26843231847</v>
      </c>
      <c r="D98" s="331">
        <v>9733343204</v>
      </c>
      <c r="E98" s="331">
        <v>245671075</v>
      </c>
      <c r="F98" s="331">
        <v>229339</v>
      </c>
      <c r="G98" s="370">
        <f t="shared" si="3"/>
        <v>8.5436433774881289E-6</v>
      </c>
      <c r="H98" s="370">
        <f t="shared" si="4"/>
        <v>2.356220213274214E-5</v>
      </c>
      <c r="I98" s="331">
        <v>78584</v>
      </c>
      <c r="J98" s="331">
        <v>0</v>
      </c>
      <c r="K98" s="331">
        <f t="shared" si="5"/>
        <v>78584</v>
      </c>
      <c r="L98" s="199">
        <v>2.5299999999999998</v>
      </c>
      <c r="M98" s="199">
        <v>1.52</v>
      </c>
    </row>
    <row r="99" spans="1:13" ht="15" customHeight="1" x14ac:dyDescent="0.25">
      <c r="A99" s="49">
        <v>2005</v>
      </c>
      <c r="B99" s="330" t="s">
        <v>4</v>
      </c>
      <c r="C99" s="331">
        <v>28180496642</v>
      </c>
      <c r="D99" s="331">
        <v>9990314165</v>
      </c>
      <c r="E99" s="331">
        <v>256461056</v>
      </c>
      <c r="F99" s="331">
        <v>213365</v>
      </c>
      <c r="G99" s="370">
        <f t="shared" si="3"/>
        <v>7.5713711759785816E-6</v>
      </c>
      <c r="H99" s="370">
        <f t="shared" si="4"/>
        <v>2.1357186218177355E-5</v>
      </c>
      <c r="I99" s="331">
        <v>125376</v>
      </c>
      <c r="J99" s="331">
        <v>0</v>
      </c>
      <c r="K99" s="331">
        <f t="shared" si="5"/>
        <v>125376</v>
      </c>
      <c r="L99" s="199">
        <v>2.57</v>
      </c>
      <c r="M99" s="199">
        <v>1.52</v>
      </c>
    </row>
    <row r="100" spans="1:13" ht="15" customHeight="1" x14ac:dyDescent="0.25">
      <c r="A100" s="49">
        <v>2006</v>
      </c>
      <c r="B100" s="330" t="s">
        <v>4</v>
      </c>
      <c r="C100" s="331">
        <v>29640281763</v>
      </c>
      <c r="D100" s="331">
        <v>10198842719</v>
      </c>
      <c r="E100" s="331">
        <v>253940102</v>
      </c>
      <c r="F100" s="331">
        <v>229183</v>
      </c>
      <c r="G100" s="370">
        <f t="shared" si="3"/>
        <v>7.7321464698790211E-6</v>
      </c>
      <c r="H100" s="370">
        <f t="shared" si="4"/>
        <v>2.2471471157511042E-5</v>
      </c>
      <c r="I100" s="331">
        <v>168706</v>
      </c>
      <c r="J100" s="331">
        <v>0</v>
      </c>
      <c r="K100" s="331">
        <f t="shared" si="5"/>
        <v>168706</v>
      </c>
      <c r="L100" s="199">
        <v>2.4900000000000002</v>
      </c>
      <c r="M100" s="199">
        <v>1.52</v>
      </c>
    </row>
    <row r="101" spans="1:13" ht="15" customHeight="1" x14ac:dyDescent="0.25">
      <c r="A101" s="49">
        <v>2007</v>
      </c>
      <c r="B101" s="330" t="s">
        <v>4</v>
      </c>
      <c r="C101" s="331">
        <v>31491093563</v>
      </c>
      <c r="D101" s="331">
        <v>10459105059</v>
      </c>
      <c r="E101" s="331">
        <v>240448368</v>
      </c>
      <c r="F101" s="331">
        <v>269144</v>
      </c>
      <c r="G101" s="370">
        <f t="shared" si="3"/>
        <v>8.5466704883258429E-6</v>
      </c>
      <c r="H101" s="370">
        <f t="shared" si="4"/>
        <v>2.5732985612225316E-5</v>
      </c>
      <c r="I101" s="331">
        <v>151132</v>
      </c>
      <c r="J101" s="331">
        <v>0</v>
      </c>
      <c r="K101" s="331">
        <f t="shared" si="5"/>
        <v>151132</v>
      </c>
      <c r="L101" s="199">
        <v>2.2999999999999998</v>
      </c>
      <c r="M101" s="199">
        <v>1.52</v>
      </c>
    </row>
    <row r="102" spans="1:13" ht="15" customHeight="1" x14ac:dyDescent="0.25">
      <c r="A102" s="49">
        <v>2008</v>
      </c>
      <c r="B102" s="330" t="s">
        <v>4</v>
      </c>
      <c r="C102" s="331">
        <v>31902825588</v>
      </c>
      <c r="D102" s="331">
        <v>10360503984</v>
      </c>
      <c r="E102" s="331">
        <v>250264147</v>
      </c>
      <c r="F102" s="331">
        <v>318703</v>
      </c>
      <c r="G102" s="370">
        <f t="shared" si="3"/>
        <v>9.9898047939640069E-6</v>
      </c>
      <c r="H102" s="370">
        <f t="shared" si="4"/>
        <v>3.0761341387656573E-5</v>
      </c>
      <c r="I102" s="331">
        <v>82954</v>
      </c>
      <c r="J102" s="331">
        <v>0</v>
      </c>
      <c r="K102" s="331">
        <f t="shared" si="5"/>
        <v>82954</v>
      </c>
      <c r="L102" s="199">
        <v>2.4</v>
      </c>
      <c r="M102" s="199">
        <v>1.52</v>
      </c>
    </row>
    <row r="103" spans="1:13" ht="15" customHeight="1" x14ac:dyDescent="0.25">
      <c r="A103" s="49">
        <v>2009</v>
      </c>
      <c r="B103" s="330" t="s">
        <v>4</v>
      </c>
      <c r="C103" s="331">
        <v>31098703868</v>
      </c>
      <c r="D103" s="331">
        <v>9786285920</v>
      </c>
      <c r="E103" s="331">
        <v>247915941</v>
      </c>
      <c r="F103" s="331">
        <v>596216</v>
      </c>
      <c r="G103" s="370">
        <f t="shared" si="3"/>
        <v>1.917173148214371E-5</v>
      </c>
      <c r="H103" s="370">
        <f t="shared" si="4"/>
        <v>6.0923623617160779E-5</v>
      </c>
      <c r="I103" s="331">
        <v>13977</v>
      </c>
      <c r="J103" s="331">
        <v>222616</v>
      </c>
      <c r="K103" s="331">
        <f t="shared" si="5"/>
        <v>-208639</v>
      </c>
      <c r="L103" s="199">
        <v>2.5</v>
      </c>
      <c r="M103" s="199">
        <v>1.44</v>
      </c>
    </row>
    <row r="104" spans="1:13" ht="15" customHeight="1" x14ac:dyDescent="0.25">
      <c r="A104" s="49">
        <v>2010</v>
      </c>
      <c r="B104" s="330" t="s">
        <v>4</v>
      </c>
      <c r="C104" s="331">
        <v>31608717227</v>
      </c>
      <c r="D104" s="331">
        <v>11340295257</v>
      </c>
      <c r="E104" s="331">
        <v>345597290</v>
      </c>
      <c r="F104" s="331">
        <v>407235</v>
      </c>
      <c r="G104" s="370">
        <f t="shared" si="3"/>
        <v>1.2883629445491765E-5</v>
      </c>
      <c r="H104" s="370">
        <f t="shared" si="4"/>
        <v>3.5910440669402051E-5</v>
      </c>
      <c r="I104" s="331">
        <v>51800</v>
      </c>
      <c r="J104" s="331">
        <v>330853</v>
      </c>
      <c r="K104" s="331">
        <f t="shared" si="5"/>
        <v>-279053</v>
      </c>
      <c r="L104" s="199">
        <v>3</v>
      </c>
      <c r="M104" s="199">
        <v>1.48</v>
      </c>
    </row>
    <row r="105" spans="1:13" ht="15" customHeight="1" x14ac:dyDescent="0.25">
      <c r="A105" s="49">
        <v>2011</v>
      </c>
      <c r="B105" s="330" t="s">
        <v>4</v>
      </c>
      <c r="C105" s="331">
        <v>32874131691</v>
      </c>
      <c r="D105" s="331">
        <v>11487789993</v>
      </c>
      <c r="E105" s="331">
        <v>391528711</v>
      </c>
      <c r="F105" s="331">
        <v>340842</v>
      </c>
      <c r="G105" s="370">
        <f t="shared" si="3"/>
        <v>1.0368091337095691E-5</v>
      </c>
      <c r="H105" s="370">
        <f t="shared" si="4"/>
        <v>2.9669936533283562E-5</v>
      </c>
      <c r="I105" s="331">
        <v>87680</v>
      </c>
      <c r="J105" s="331">
        <v>330853</v>
      </c>
      <c r="K105" s="331">
        <f t="shared" si="5"/>
        <v>-243173</v>
      </c>
      <c r="L105" s="199">
        <v>3.4</v>
      </c>
      <c r="M105" s="199">
        <v>1.48</v>
      </c>
    </row>
    <row r="106" spans="1:13" x14ac:dyDescent="0.25">
      <c r="A106" s="49">
        <v>2012</v>
      </c>
      <c r="B106" s="330" t="s">
        <v>4</v>
      </c>
      <c r="C106" s="331">
        <v>34084500533</v>
      </c>
      <c r="D106" s="331">
        <v>11647185489</v>
      </c>
      <c r="E106" s="331">
        <v>405241935</v>
      </c>
      <c r="F106" s="331">
        <v>313939</v>
      </c>
      <c r="G106" s="370">
        <f t="shared" si="3"/>
        <v>9.2106087837798858E-6</v>
      </c>
      <c r="H106" s="370">
        <f t="shared" si="4"/>
        <v>2.6954065451820504E-5</v>
      </c>
      <c r="I106" s="331">
        <v>82306</v>
      </c>
      <c r="J106" s="331">
        <v>234438</v>
      </c>
      <c r="K106" s="331">
        <f t="shared" si="5"/>
        <v>-152132</v>
      </c>
      <c r="L106" s="199">
        <v>3.48</v>
      </c>
      <c r="M106" s="199">
        <v>1.48</v>
      </c>
    </row>
    <row r="107" spans="1:13" ht="15" customHeight="1" x14ac:dyDescent="0.25">
      <c r="A107" s="49">
        <v>2013</v>
      </c>
      <c r="B107" s="330" t="s">
        <v>4</v>
      </c>
      <c r="C107" s="331">
        <v>34750741888</v>
      </c>
      <c r="D107" s="331">
        <v>11660289970</v>
      </c>
      <c r="E107" s="331">
        <v>379972614</v>
      </c>
      <c r="F107" s="331">
        <v>259379</v>
      </c>
      <c r="G107" s="370">
        <f t="shared" si="3"/>
        <v>7.463984534084661E-6</v>
      </c>
      <c r="H107" s="370">
        <f t="shared" si="4"/>
        <v>2.2244644058367273E-5</v>
      </c>
      <c r="I107" s="331">
        <v>97251</v>
      </c>
      <c r="J107" s="331">
        <v>117352</v>
      </c>
      <c r="K107" s="331">
        <f t="shared" si="5"/>
        <v>-20101</v>
      </c>
      <c r="L107" s="199">
        <v>3.26</v>
      </c>
      <c r="M107" s="199">
        <v>1.48</v>
      </c>
    </row>
    <row r="108" spans="1:13" ht="15" customHeight="1" x14ac:dyDescent="0.25">
      <c r="A108" s="49">
        <v>2014</v>
      </c>
      <c r="B108" s="330" t="s">
        <v>4</v>
      </c>
      <c r="C108" s="331">
        <v>36193051786</v>
      </c>
      <c r="D108" s="331">
        <v>11919035738</v>
      </c>
      <c r="E108" s="331">
        <v>373183261</v>
      </c>
      <c r="F108" s="331">
        <v>211910</v>
      </c>
      <c r="G108" s="370">
        <f t="shared" si="3"/>
        <v>5.8549912080630313E-6</v>
      </c>
      <c r="H108" s="370">
        <f t="shared" si="4"/>
        <v>1.7779122796351162E-5</v>
      </c>
      <c r="I108" s="331">
        <v>237708</v>
      </c>
      <c r="J108" s="331">
        <v>0</v>
      </c>
      <c r="K108" s="331">
        <f t="shared" si="5"/>
        <v>237708</v>
      </c>
      <c r="L108" s="333">
        <v>3.1309853347467156</v>
      </c>
      <c r="M108" s="199">
        <v>1.48</v>
      </c>
    </row>
    <row r="109" spans="1:13" ht="15" customHeight="1" x14ac:dyDescent="0.25">
      <c r="A109" s="49">
        <v>2015</v>
      </c>
      <c r="B109" s="330" t="s">
        <v>4</v>
      </c>
      <c r="C109" s="334">
        <v>37650355000</v>
      </c>
      <c r="D109" s="334">
        <v>12258273000</v>
      </c>
      <c r="E109" s="334">
        <v>335027000</v>
      </c>
      <c r="F109" s="331">
        <v>199805</v>
      </c>
      <c r="G109" s="370">
        <f t="shared" si="3"/>
        <v>5.3068556724099945E-6</v>
      </c>
      <c r="H109" s="370">
        <f t="shared" si="4"/>
        <v>1.6299604356992213E-5</v>
      </c>
      <c r="I109" s="331">
        <v>384596</v>
      </c>
      <c r="J109" s="199">
        <v>0</v>
      </c>
      <c r="K109" s="331">
        <f t="shared" si="5"/>
        <v>384596</v>
      </c>
      <c r="L109" s="199">
        <v>2.7</v>
      </c>
      <c r="M109" s="199">
        <v>1.48</v>
      </c>
    </row>
    <row r="110" spans="1:13" ht="15" customHeight="1" x14ac:dyDescent="0.25">
      <c r="A110" s="49">
        <v>1980</v>
      </c>
      <c r="B110" s="330" t="s">
        <v>5</v>
      </c>
      <c r="C110" s="331">
        <v>10879768617</v>
      </c>
      <c r="D110" s="331">
        <v>5017135663</v>
      </c>
      <c r="E110" s="331">
        <v>81354647</v>
      </c>
      <c r="F110" s="331">
        <v>71151</v>
      </c>
      <c r="G110" s="370">
        <f t="shared" si="3"/>
        <v>6.5397530503382399E-6</v>
      </c>
      <c r="H110" s="370">
        <f t="shared" si="4"/>
        <v>1.4181597783914658E-5</v>
      </c>
      <c r="I110" s="331">
        <v>267259</v>
      </c>
      <c r="J110" s="331">
        <v>0</v>
      </c>
      <c r="K110" s="331">
        <f t="shared" si="5"/>
        <v>267259</v>
      </c>
      <c r="L110" s="199">
        <v>1.62</v>
      </c>
      <c r="M110" s="199">
        <v>1.67</v>
      </c>
    </row>
    <row r="111" spans="1:13" ht="15" customHeight="1" x14ac:dyDescent="0.25">
      <c r="A111" s="49">
        <v>1981</v>
      </c>
      <c r="B111" s="330" t="s">
        <v>5</v>
      </c>
      <c r="C111" s="331">
        <v>12270209393</v>
      </c>
      <c r="D111" s="331">
        <v>5269127694</v>
      </c>
      <c r="E111" s="331">
        <v>67959814</v>
      </c>
      <c r="F111" s="331">
        <v>73566</v>
      </c>
      <c r="G111" s="370">
        <f t="shared" si="3"/>
        <v>5.9954967061905622E-6</v>
      </c>
      <c r="H111" s="370">
        <f t="shared" si="4"/>
        <v>1.3961703771910903E-5</v>
      </c>
      <c r="I111" s="331">
        <v>295531</v>
      </c>
      <c r="J111" s="331">
        <v>0</v>
      </c>
      <c r="K111" s="331">
        <f t="shared" si="5"/>
        <v>295531</v>
      </c>
      <c r="L111" s="199">
        <v>1.29</v>
      </c>
      <c r="M111" s="199">
        <v>1.67</v>
      </c>
    </row>
    <row r="112" spans="1:13" ht="15" customHeight="1" x14ac:dyDescent="0.25">
      <c r="A112" s="49">
        <v>1982</v>
      </c>
      <c r="B112" s="330" t="s">
        <v>5</v>
      </c>
      <c r="C112" s="331">
        <v>12621157313</v>
      </c>
      <c r="D112" s="331">
        <v>5175609062</v>
      </c>
      <c r="E112" s="331">
        <v>61340904</v>
      </c>
      <c r="F112" s="331">
        <v>163525</v>
      </c>
      <c r="G112" s="370">
        <f t="shared" si="3"/>
        <v>1.2956418808881065E-5</v>
      </c>
      <c r="H112" s="370">
        <f t="shared" si="4"/>
        <v>3.1595315264559289E-5</v>
      </c>
      <c r="I112" s="331">
        <v>215257</v>
      </c>
      <c r="J112" s="331">
        <v>0</v>
      </c>
      <c r="K112" s="331">
        <f t="shared" si="5"/>
        <v>215257</v>
      </c>
      <c r="L112" s="199">
        <v>1.19</v>
      </c>
      <c r="M112" s="199">
        <v>1.75</v>
      </c>
    </row>
    <row r="113" spans="1:13" ht="15" customHeight="1" x14ac:dyDescent="0.25">
      <c r="A113" s="49">
        <v>1983</v>
      </c>
      <c r="B113" s="330" t="s">
        <v>5</v>
      </c>
      <c r="C113" s="331">
        <v>13863215634</v>
      </c>
      <c r="D113" s="331">
        <v>6137919878</v>
      </c>
      <c r="E113" s="331">
        <v>68784914</v>
      </c>
      <c r="F113" s="331">
        <v>124890</v>
      </c>
      <c r="G113" s="370">
        <f t="shared" si="3"/>
        <v>9.0087324108054041E-6</v>
      </c>
      <c r="H113" s="370">
        <f t="shared" si="4"/>
        <v>2.0347284174829366E-5</v>
      </c>
      <c r="I113" s="331">
        <v>171861</v>
      </c>
      <c r="J113" s="331">
        <v>0</v>
      </c>
      <c r="K113" s="331">
        <f t="shared" si="5"/>
        <v>171861</v>
      </c>
      <c r="L113" s="199">
        <v>1.1200000000000001</v>
      </c>
      <c r="M113" s="199">
        <v>1.75</v>
      </c>
    </row>
    <row r="114" spans="1:13" ht="15" customHeight="1" x14ac:dyDescent="0.25">
      <c r="A114" s="49">
        <v>1984</v>
      </c>
      <c r="B114" s="330" t="s">
        <v>5</v>
      </c>
      <c r="C114" s="331">
        <v>16051804347</v>
      </c>
      <c r="D114" s="331">
        <v>6956303201</v>
      </c>
      <c r="E114" s="331">
        <v>134654065</v>
      </c>
      <c r="F114" s="331">
        <v>72235</v>
      </c>
      <c r="G114" s="370">
        <f t="shared" si="3"/>
        <v>4.5001171481074244E-6</v>
      </c>
      <c r="H114" s="370">
        <f t="shared" si="4"/>
        <v>1.0384107465243306E-5</v>
      </c>
      <c r="I114" s="331">
        <v>246279</v>
      </c>
      <c r="J114" s="331">
        <v>0</v>
      </c>
      <c r="K114" s="331">
        <f t="shared" si="5"/>
        <v>246279</v>
      </c>
      <c r="L114" s="199">
        <v>1.94</v>
      </c>
      <c r="M114" s="199">
        <v>1.75</v>
      </c>
    </row>
    <row r="115" spans="1:13" ht="15" customHeight="1" x14ac:dyDescent="0.25">
      <c r="A115" s="49">
        <v>1985</v>
      </c>
      <c r="B115" s="330" t="s">
        <v>5</v>
      </c>
      <c r="C115" s="331">
        <v>18096920302</v>
      </c>
      <c r="D115" s="331">
        <v>7633039039</v>
      </c>
      <c r="E115" s="331">
        <v>140301196</v>
      </c>
      <c r="F115" s="331">
        <v>80668</v>
      </c>
      <c r="G115" s="370">
        <f t="shared" si="3"/>
        <v>4.4575540287418348E-6</v>
      </c>
      <c r="H115" s="370">
        <f t="shared" si="4"/>
        <v>1.0568267709340613E-5</v>
      </c>
      <c r="I115" s="331">
        <v>336408</v>
      </c>
      <c r="J115" s="331">
        <v>0</v>
      </c>
      <c r="K115" s="331">
        <f t="shared" si="5"/>
        <v>336408</v>
      </c>
      <c r="L115" s="199">
        <v>1.84</v>
      </c>
      <c r="M115" s="199">
        <v>1.75</v>
      </c>
    </row>
    <row r="116" spans="1:13" ht="15" customHeight="1" x14ac:dyDescent="0.25">
      <c r="A116" s="49">
        <v>1986</v>
      </c>
      <c r="B116" s="330" t="s">
        <v>5</v>
      </c>
      <c r="C116" s="331">
        <v>19822265695</v>
      </c>
      <c r="D116" s="331">
        <v>8032929757</v>
      </c>
      <c r="E116" s="331">
        <v>123557979</v>
      </c>
      <c r="F116" s="331">
        <v>106452</v>
      </c>
      <c r="G116" s="370">
        <f t="shared" si="3"/>
        <v>5.3703245450317829E-6</v>
      </c>
      <c r="H116" s="370">
        <f t="shared" si="4"/>
        <v>1.3251952054882134E-5</v>
      </c>
      <c r="I116" s="331">
        <v>394367</v>
      </c>
      <c r="J116" s="331">
        <v>0</v>
      </c>
      <c r="K116" s="331">
        <f t="shared" si="5"/>
        <v>394367</v>
      </c>
      <c r="L116" s="199">
        <v>1.54</v>
      </c>
      <c r="M116" s="199">
        <v>1.75</v>
      </c>
    </row>
    <row r="117" spans="1:13" ht="15" customHeight="1" x14ac:dyDescent="0.25">
      <c r="A117" s="49">
        <v>1987</v>
      </c>
      <c r="B117" s="330" t="s">
        <v>5</v>
      </c>
      <c r="C117" s="331">
        <v>21273534569</v>
      </c>
      <c r="D117" s="331">
        <v>8492866714</v>
      </c>
      <c r="E117" s="331">
        <v>113596089</v>
      </c>
      <c r="F117" s="331">
        <v>120490</v>
      </c>
      <c r="G117" s="370">
        <f t="shared" si="3"/>
        <v>5.6638448871387455E-6</v>
      </c>
      <c r="H117" s="370">
        <f t="shared" si="4"/>
        <v>1.4187200159562048E-5</v>
      </c>
      <c r="I117" s="331">
        <v>425884</v>
      </c>
      <c r="J117" s="331">
        <v>0</v>
      </c>
      <c r="K117" s="331">
        <f t="shared" si="5"/>
        <v>425884</v>
      </c>
      <c r="L117" s="199">
        <v>1.34</v>
      </c>
      <c r="M117" s="199">
        <v>1.75</v>
      </c>
    </row>
    <row r="118" spans="1:13" ht="15" customHeight="1" x14ac:dyDescent="0.25">
      <c r="A118" s="49">
        <v>1988</v>
      </c>
      <c r="B118" s="330" t="s">
        <v>5</v>
      </c>
      <c r="C118" s="331">
        <v>22804210774</v>
      </c>
      <c r="D118" s="331">
        <v>8751773346</v>
      </c>
      <c r="E118" s="331">
        <v>117484377</v>
      </c>
      <c r="F118" s="331">
        <v>110348</v>
      </c>
      <c r="G118" s="370">
        <f t="shared" si="3"/>
        <v>4.8389308927898618E-6</v>
      </c>
      <c r="H118" s="370">
        <f t="shared" si="4"/>
        <v>1.2608644629769186E-5</v>
      </c>
      <c r="I118" s="331">
        <v>466447</v>
      </c>
      <c r="J118" s="331">
        <v>0</v>
      </c>
      <c r="K118" s="331">
        <f t="shared" si="5"/>
        <v>466447</v>
      </c>
      <c r="L118" s="199">
        <v>1.34</v>
      </c>
      <c r="M118" s="199">
        <v>1.75</v>
      </c>
    </row>
    <row r="119" spans="1:13" ht="15" customHeight="1" x14ac:dyDescent="0.25">
      <c r="A119" s="49">
        <v>1989</v>
      </c>
      <c r="B119" s="330" t="s">
        <v>5</v>
      </c>
      <c r="C119" s="331">
        <v>23775631299</v>
      </c>
      <c r="D119" s="331">
        <v>8803817260</v>
      </c>
      <c r="E119" s="331">
        <v>103382106</v>
      </c>
      <c r="F119" s="331">
        <v>120576</v>
      </c>
      <c r="G119" s="370">
        <f t="shared" si="3"/>
        <v>5.0714110798425533E-6</v>
      </c>
      <c r="H119" s="370">
        <f t="shared" si="4"/>
        <v>1.3695877190435913E-5</v>
      </c>
      <c r="I119" s="331">
        <v>492874</v>
      </c>
      <c r="J119" s="331">
        <v>0</v>
      </c>
      <c r="K119" s="331">
        <f t="shared" si="5"/>
        <v>492874</v>
      </c>
      <c r="L119" s="199">
        <v>1.17</v>
      </c>
      <c r="M119" s="199">
        <v>1.75</v>
      </c>
    </row>
    <row r="120" spans="1:13" ht="15" customHeight="1" x14ac:dyDescent="0.25">
      <c r="A120" s="49">
        <v>1990</v>
      </c>
      <c r="B120" s="330" t="s">
        <v>5</v>
      </c>
      <c r="C120" s="331">
        <v>24876685361</v>
      </c>
      <c r="D120" s="331">
        <v>8921606682</v>
      </c>
      <c r="E120" s="331">
        <v>101874001</v>
      </c>
      <c r="F120" s="331">
        <v>136712</v>
      </c>
      <c r="G120" s="370">
        <f t="shared" si="3"/>
        <v>5.4955874553258573E-6</v>
      </c>
      <c r="H120" s="370">
        <f t="shared" si="4"/>
        <v>1.5323697274822319E-5</v>
      </c>
      <c r="I120" s="331">
        <v>497785</v>
      </c>
      <c r="J120" s="331">
        <v>0</v>
      </c>
      <c r="K120" s="331">
        <f t="shared" si="5"/>
        <v>497785</v>
      </c>
      <c r="L120" s="199">
        <v>1.1399999999999999</v>
      </c>
      <c r="M120" s="199">
        <v>1.75</v>
      </c>
    </row>
    <row r="121" spans="1:13" ht="15" customHeight="1" x14ac:dyDescent="0.25">
      <c r="A121" s="49">
        <v>1991</v>
      </c>
      <c r="B121" s="330" t="s">
        <v>5</v>
      </c>
      <c r="C121" s="331">
        <v>25624184888</v>
      </c>
      <c r="D121" s="331">
        <v>9025384503</v>
      </c>
      <c r="E121" s="331">
        <v>93033663</v>
      </c>
      <c r="F121" s="331">
        <v>192750</v>
      </c>
      <c r="G121" s="370">
        <f t="shared" si="3"/>
        <v>7.5221904947410168E-6</v>
      </c>
      <c r="H121" s="370">
        <f t="shared" si="4"/>
        <v>2.1356430846345739E-5</v>
      </c>
      <c r="I121" s="331">
        <v>437867</v>
      </c>
      <c r="J121" s="331">
        <v>0</v>
      </c>
      <c r="K121" s="331">
        <f t="shared" si="5"/>
        <v>437867</v>
      </c>
      <c r="L121" s="199">
        <v>1.03</v>
      </c>
      <c r="M121" s="199">
        <v>1.75</v>
      </c>
    </row>
    <row r="122" spans="1:13" ht="15" customHeight="1" x14ac:dyDescent="0.25">
      <c r="A122" s="49">
        <v>1992</v>
      </c>
      <c r="B122" s="330" t="s">
        <v>5</v>
      </c>
      <c r="C122" s="331">
        <v>27354911157</v>
      </c>
      <c r="D122" s="331">
        <v>9217013673</v>
      </c>
      <c r="E122" s="331">
        <v>103835472</v>
      </c>
      <c r="F122" s="331">
        <v>206249</v>
      </c>
      <c r="G122" s="370">
        <f t="shared" si="3"/>
        <v>7.5397430032311327E-6</v>
      </c>
      <c r="H122" s="370">
        <f t="shared" si="4"/>
        <v>2.2376987527335307E-5</v>
      </c>
      <c r="I122" s="331">
        <v>372423</v>
      </c>
      <c r="J122" s="331">
        <v>0</v>
      </c>
      <c r="K122" s="331">
        <f t="shared" si="5"/>
        <v>372423</v>
      </c>
      <c r="L122" s="199">
        <v>1.1299999999999999</v>
      </c>
      <c r="M122" s="199">
        <v>1.75</v>
      </c>
    </row>
    <row r="123" spans="1:13" ht="15" customHeight="1" x14ac:dyDescent="0.25">
      <c r="A123" s="49">
        <v>1993</v>
      </c>
      <c r="B123" s="330" t="s">
        <v>5</v>
      </c>
      <c r="C123" s="331">
        <v>29246098781</v>
      </c>
      <c r="D123" s="331">
        <v>9855358555</v>
      </c>
      <c r="E123" s="331">
        <v>147800805</v>
      </c>
      <c r="F123" s="331">
        <v>169144</v>
      </c>
      <c r="G123" s="370">
        <f t="shared" si="3"/>
        <v>5.7834722253583433E-6</v>
      </c>
      <c r="H123" s="370">
        <f t="shared" si="4"/>
        <v>1.7162642947595933E-5</v>
      </c>
      <c r="I123" s="331">
        <v>368782</v>
      </c>
      <c r="J123" s="331">
        <v>0</v>
      </c>
      <c r="K123" s="331">
        <f t="shared" si="5"/>
        <v>368782</v>
      </c>
      <c r="L123" s="199">
        <v>1.5</v>
      </c>
      <c r="M123" s="199">
        <v>1.75</v>
      </c>
    </row>
    <row r="124" spans="1:13" ht="15" customHeight="1" x14ac:dyDescent="0.25">
      <c r="A124" s="49">
        <v>1994</v>
      </c>
      <c r="B124" s="330" t="s">
        <v>5</v>
      </c>
      <c r="C124" s="331">
        <v>32402147773</v>
      </c>
      <c r="D124" s="331">
        <v>10833230286</v>
      </c>
      <c r="E124" s="331">
        <v>196806233</v>
      </c>
      <c r="F124" s="331">
        <v>156586</v>
      </c>
      <c r="G124" s="370">
        <f t="shared" si="3"/>
        <v>4.8325808862114902E-6</v>
      </c>
      <c r="H124" s="370">
        <f t="shared" si="4"/>
        <v>1.445422979721563E-5</v>
      </c>
      <c r="I124" s="331">
        <v>432449</v>
      </c>
      <c r="J124" s="331">
        <v>0</v>
      </c>
      <c r="K124" s="331">
        <f t="shared" si="5"/>
        <v>432449</v>
      </c>
      <c r="L124" s="199">
        <v>1.82</v>
      </c>
      <c r="M124" s="199">
        <v>1.75</v>
      </c>
    </row>
    <row r="125" spans="1:13" ht="15" customHeight="1" x14ac:dyDescent="0.25">
      <c r="A125" s="49">
        <v>1995</v>
      </c>
      <c r="B125" s="330" t="s">
        <v>5</v>
      </c>
      <c r="C125" s="331">
        <v>36126928641</v>
      </c>
      <c r="D125" s="331">
        <v>11835300049</v>
      </c>
      <c r="E125" s="331">
        <v>219583274</v>
      </c>
      <c r="F125" s="331">
        <v>150266</v>
      </c>
      <c r="G125" s="370">
        <f t="shared" si="3"/>
        <v>4.1593903952705511E-6</v>
      </c>
      <c r="H125" s="370">
        <f t="shared" si="4"/>
        <v>1.2696425048615174E-5</v>
      </c>
      <c r="I125" s="331">
        <v>534640</v>
      </c>
      <c r="J125" s="331">
        <v>0</v>
      </c>
      <c r="K125" s="331">
        <f t="shared" si="5"/>
        <v>534640</v>
      </c>
      <c r="L125" s="199">
        <v>1.86</v>
      </c>
      <c r="M125" s="199">
        <v>1.22</v>
      </c>
    </row>
    <row r="126" spans="1:13" ht="15" customHeight="1" x14ac:dyDescent="0.25">
      <c r="A126" s="49">
        <v>1996</v>
      </c>
      <c r="B126" s="330" t="s">
        <v>5</v>
      </c>
      <c r="C126" s="331">
        <v>40038265470</v>
      </c>
      <c r="D126" s="331">
        <v>12649257276</v>
      </c>
      <c r="E126" s="331">
        <v>209109859</v>
      </c>
      <c r="F126" s="331">
        <v>159386</v>
      </c>
      <c r="G126" s="370">
        <f t="shared" si="3"/>
        <v>3.9808417804568798E-6</v>
      </c>
      <c r="H126" s="370">
        <f t="shared" si="4"/>
        <v>1.2600423607669849E-5</v>
      </c>
      <c r="I126" s="331">
        <v>627059</v>
      </c>
      <c r="J126" s="331">
        <v>0</v>
      </c>
      <c r="K126" s="331">
        <f t="shared" si="5"/>
        <v>627059</v>
      </c>
      <c r="L126" s="199">
        <v>1.65</v>
      </c>
      <c r="M126" s="199">
        <v>1.01</v>
      </c>
    </row>
    <row r="127" spans="1:13" ht="15" customHeight="1" x14ac:dyDescent="0.25">
      <c r="A127" s="49">
        <v>1997</v>
      </c>
      <c r="B127" s="330" t="s">
        <v>5</v>
      </c>
      <c r="C127" s="331">
        <v>44188080982</v>
      </c>
      <c r="D127" s="331">
        <v>13599533342</v>
      </c>
      <c r="E127" s="331">
        <v>206675269</v>
      </c>
      <c r="F127" s="331">
        <v>136208</v>
      </c>
      <c r="G127" s="370">
        <f t="shared" si="3"/>
        <v>3.0824601786957955E-6</v>
      </c>
      <c r="H127" s="370">
        <f t="shared" si="4"/>
        <v>1.0015637785110111E-5</v>
      </c>
      <c r="I127" s="331">
        <v>741050</v>
      </c>
      <c r="J127" s="331">
        <v>0</v>
      </c>
      <c r="K127" s="331">
        <f t="shared" si="5"/>
        <v>741050</v>
      </c>
      <c r="L127" s="199">
        <v>1.52</v>
      </c>
      <c r="M127" s="199">
        <v>1</v>
      </c>
    </row>
    <row r="128" spans="1:13" ht="15" customHeight="1" x14ac:dyDescent="0.25">
      <c r="A128" s="49">
        <v>1998</v>
      </c>
      <c r="B128" s="330" t="s">
        <v>5</v>
      </c>
      <c r="C128" s="331">
        <v>49450961002</v>
      </c>
      <c r="D128" s="331">
        <v>14456441834</v>
      </c>
      <c r="E128" s="331">
        <v>189000647</v>
      </c>
      <c r="F128" s="331">
        <v>133868</v>
      </c>
      <c r="G128" s="370">
        <f t="shared" si="3"/>
        <v>2.7070859147628258E-6</v>
      </c>
      <c r="H128" s="370">
        <f t="shared" si="4"/>
        <v>9.2600932883191788E-6</v>
      </c>
      <c r="I128" s="331">
        <v>855593</v>
      </c>
      <c r="J128" s="331">
        <v>0</v>
      </c>
      <c r="K128" s="331">
        <f t="shared" si="5"/>
        <v>855593</v>
      </c>
      <c r="L128" s="199">
        <v>1.31</v>
      </c>
      <c r="M128" s="199">
        <v>1</v>
      </c>
    </row>
    <row r="129" spans="1:13" ht="15" customHeight="1" x14ac:dyDescent="0.25">
      <c r="A129" s="49">
        <v>1999</v>
      </c>
      <c r="B129" s="330" t="s">
        <v>5</v>
      </c>
      <c r="C129" s="331">
        <v>53635160059</v>
      </c>
      <c r="D129" s="331">
        <v>15179587318</v>
      </c>
      <c r="E129" s="331">
        <v>164552438</v>
      </c>
      <c r="F129" s="331">
        <v>143321</v>
      </c>
      <c r="G129" s="370">
        <f t="shared" si="3"/>
        <v>2.6721464025155023E-6</v>
      </c>
      <c r="H129" s="370">
        <f t="shared" si="4"/>
        <v>9.441692781071164E-6</v>
      </c>
      <c r="I129" s="331">
        <v>927461</v>
      </c>
      <c r="J129" s="331">
        <v>0</v>
      </c>
      <c r="K129" s="331">
        <f t="shared" si="5"/>
        <v>927461</v>
      </c>
      <c r="L129" s="199">
        <v>1.08</v>
      </c>
      <c r="M129" s="199">
        <v>1</v>
      </c>
    </row>
    <row r="130" spans="1:13" ht="15" customHeight="1" x14ac:dyDescent="0.25">
      <c r="A130" s="49">
        <v>2000</v>
      </c>
      <c r="B130" s="330" t="s">
        <v>5</v>
      </c>
      <c r="C130" s="331">
        <v>59611699508</v>
      </c>
      <c r="D130" s="331">
        <v>16086128668</v>
      </c>
      <c r="E130" s="331">
        <v>172266746</v>
      </c>
      <c r="F130" s="331">
        <v>154213</v>
      </c>
      <c r="G130" s="370">
        <f t="shared" ref="G130:G193" si="6">F130/C130</f>
        <v>2.586958621760219E-6</v>
      </c>
      <c r="H130" s="370">
        <f t="shared" ref="H130:H193" si="7">F130/D130</f>
        <v>9.5867068567451293E-6</v>
      </c>
      <c r="I130" s="331">
        <v>1002874</v>
      </c>
      <c r="J130" s="331">
        <v>0</v>
      </c>
      <c r="K130" s="331">
        <f t="shared" ref="K130:K193" si="8">I130-J130</f>
        <v>1002874</v>
      </c>
      <c r="L130" s="199">
        <v>1.07</v>
      </c>
      <c r="M130" s="199">
        <v>1</v>
      </c>
    </row>
    <row r="131" spans="1:13" ht="15" customHeight="1" x14ac:dyDescent="0.25">
      <c r="A131" s="49">
        <v>2001</v>
      </c>
      <c r="B131" s="330" t="s">
        <v>5</v>
      </c>
      <c r="C131" s="331">
        <v>60682729545</v>
      </c>
      <c r="D131" s="331">
        <v>15964372064</v>
      </c>
      <c r="E131" s="331">
        <v>139153985</v>
      </c>
      <c r="F131" s="331">
        <v>265181</v>
      </c>
      <c r="G131" s="370">
        <f t="shared" si="6"/>
        <v>4.3699583388606786E-6</v>
      </c>
      <c r="H131" s="370">
        <f t="shared" si="7"/>
        <v>1.6610800533645092E-5</v>
      </c>
      <c r="I131" s="331">
        <v>953993</v>
      </c>
      <c r="J131" s="331">
        <v>0</v>
      </c>
      <c r="K131" s="331">
        <f t="shared" si="8"/>
        <v>953993</v>
      </c>
      <c r="L131" s="199">
        <v>0.87</v>
      </c>
      <c r="M131" s="199">
        <v>1</v>
      </c>
    </row>
    <row r="132" spans="1:13" ht="15" customHeight="1" x14ac:dyDescent="0.25">
      <c r="A132" s="49">
        <v>2002</v>
      </c>
      <c r="B132" s="330" t="s">
        <v>5</v>
      </c>
      <c r="C132" s="331">
        <v>60907110598</v>
      </c>
      <c r="D132" s="331">
        <v>15628232977</v>
      </c>
      <c r="E132" s="331">
        <v>130211982</v>
      </c>
      <c r="F132" s="331">
        <v>369966</v>
      </c>
      <c r="G132" s="370">
        <f t="shared" si="6"/>
        <v>6.0742661467206186E-6</v>
      </c>
      <c r="H132" s="370">
        <f t="shared" si="7"/>
        <v>2.367292582241878E-5</v>
      </c>
      <c r="I132" s="331">
        <v>925699</v>
      </c>
      <c r="J132" s="331">
        <v>0</v>
      </c>
      <c r="K132" s="331">
        <f t="shared" si="8"/>
        <v>925699</v>
      </c>
      <c r="L132" s="199">
        <v>0.83</v>
      </c>
      <c r="M132" s="199">
        <v>1</v>
      </c>
    </row>
    <row r="133" spans="1:13" ht="15" customHeight="1" x14ac:dyDescent="0.25">
      <c r="A133" s="49">
        <v>2003</v>
      </c>
      <c r="B133" s="330" t="s">
        <v>5</v>
      </c>
      <c r="C133" s="331">
        <v>63424675784</v>
      </c>
      <c r="D133" s="331">
        <v>15862508154</v>
      </c>
      <c r="E133" s="331">
        <v>130955695</v>
      </c>
      <c r="F133" s="331">
        <v>348413</v>
      </c>
      <c r="G133" s="370">
        <f t="shared" si="6"/>
        <v>5.4933351364153663E-6</v>
      </c>
      <c r="H133" s="370">
        <f t="shared" si="7"/>
        <v>2.1964559237256674E-5</v>
      </c>
      <c r="I133" s="331">
        <v>749730</v>
      </c>
      <c r="J133" s="331">
        <v>0</v>
      </c>
      <c r="K133" s="331">
        <f t="shared" si="8"/>
        <v>749730</v>
      </c>
      <c r="L133" s="199">
        <v>0.83</v>
      </c>
      <c r="M133" s="199">
        <v>1</v>
      </c>
    </row>
    <row r="134" spans="1:13" ht="15" customHeight="1" x14ac:dyDescent="0.25">
      <c r="A134" s="49">
        <v>2004</v>
      </c>
      <c r="B134" s="330" t="s">
        <v>5</v>
      </c>
      <c r="C134" s="331">
        <v>69082210391</v>
      </c>
      <c r="D134" s="331">
        <v>16831695045</v>
      </c>
      <c r="E134" s="331">
        <v>177453689</v>
      </c>
      <c r="F134" s="331">
        <v>276171</v>
      </c>
      <c r="G134" s="370">
        <f t="shared" si="6"/>
        <v>3.9977151633813299E-6</v>
      </c>
      <c r="H134" s="370">
        <f t="shared" si="7"/>
        <v>1.6407794893006869E-5</v>
      </c>
      <c r="I134" s="331">
        <v>689163</v>
      </c>
      <c r="J134" s="331">
        <v>0</v>
      </c>
      <c r="K134" s="331">
        <f t="shared" si="8"/>
        <v>689163</v>
      </c>
      <c r="L134" s="199">
        <v>1.05</v>
      </c>
      <c r="M134" s="199">
        <v>1</v>
      </c>
    </row>
    <row r="135" spans="1:13" ht="15" customHeight="1" x14ac:dyDescent="0.25">
      <c r="A135" s="49">
        <v>2005</v>
      </c>
      <c r="B135" s="330" t="s">
        <v>5</v>
      </c>
      <c r="C135" s="331">
        <v>76609254604</v>
      </c>
      <c r="D135" s="331">
        <v>18253881628</v>
      </c>
      <c r="E135" s="331">
        <v>254566413</v>
      </c>
      <c r="F135" s="331">
        <v>224909</v>
      </c>
      <c r="G135" s="370">
        <f t="shared" si="6"/>
        <v>2.9357941303903094E-6</v>
      </c>
      <c r="H135" s="370">
        <f t="shared" si="7"/>
        <v>1.2321160210385473E-5</v>
      </c>
      <c r="I135" s="331">
        <v>762809</v>
      </c>
      <c r="J135" s="331">
        <v>0</v>
      </c>
      <c r="K135" s="331">
        <f t="shared" si="8"/>
        <v>762809</v>
      </c>
      <c r="L135" s="199">
        <v>1.39</v>
      </c>
      <c r="M135" s="199">
        <v>1</v>
      </c>
    </row>
    <row r="136" spans="1:13" ht="15" customHeight="1" x14ac:dyDescent="0.25">
      <c r="A136" s="49">
        <v>2006</v>
      </c>
      <c r="B136" s="330" t="s">
        <v>5</v>
      </c>
      <c r="C136" s="331">
        <v>84765831853</v>
      </c>
      <c r="D136" s="331">
        <v>19666903827</v>
      </c>
      <c r="E136" s="331">
        <v>291294830</v>
      </c>
      <c r="F136" s="331">
        <v>194129</v>
      </c>
      <c r="G136" s="370">
        <f t="shared" si="6"/>
        <v>2.2901798490771191E-6</v>
      </c>
      <c r="H136" s="370">
        <f t="shared" si="7"/>
        <v>9.8708470691501086E-6</v>
      </c>
      <c r="I136" s="331">
        <v>905040</v>
      </c>
      <c r="J136" s="331">
        <v>0</v>
      </c>
      <c r="K136" s="331">
        <f t="shared" si="8"/>
        <v>905040</v>
      </c>
      <c r="L136" s="199">
        <v>1.48</v>
      </c>
      <c r="M136" s="199">
        <v>1</v>
      </c>
    </row>
    <row r="137" spans="1:13" ht="15" customHeight="1" x14ac:dyDescent="0.25">
      <c r="A137" s="49">
        <v>2007</v>
      </c>
      <c r="B137" s="330" t="s">
        <v>5</v>
      </c>
      <c r="C137" s="331">
        <v>88605022414</v>
      </c>
      <c r="D137" s="331">
        <v>19804968443</v>
      </c>
      <c r="E137" s="331">
        <v>298260795</v>
      </c>
      <c r="F137" s="331">
        <v>264066</v>
      </c>
      <c r="G137" s="370">
        <f t="shared" si="6"/>
        <v>2.9802599537323332E-6</v>
      </c>
      <c r="H137" s="370">
        <f t="shared" si="7"/>
        <v>1.3333320916920382E-5</v>
      </c>
      <c r="I137" s="331">
        <v>990481</v>
      </c>
      <c r="J137" s="331">
        <v>0</v>
      </c>
      <c r="K137" s="331">
        <f t="shared" si="8"/>
        <v>990481</v>
      </c>
      <c r="L137" s="199">
        <v>1.51</v>
      </c>
      <c r="M137" s="199">
        <v>1</v>
      </c>
    </row>
    <row r="138" spans="1:13" ht="15" customHeight="1" x14ac:dyDescent="0.25">
      <c r="A138" s="49">
        <v>2008</v>
      </c>
      <c r="B138" s="330" t="s">
        <v>5</v>
      </c>
      <c r="C138" s="331">
        <v>87039911543</v>
      </c>
      <c r="D138" s="331">
        <v>18619716140</v>
      </c>
      <c r="E138" s="331">
        <v>256368648</v>
      </c>
      <c r="F138" s="331">
        <v>432139</v>
      </c>
      <c r="G138" s="370">
        <f t="shared" si="6"/>
        <v>4.9648373066936309E-6</v>
      </c>
      <c r="H138" s="370">
        <f t="shared" si="7"/>
        <v>2.3208678196315403E-5</v>
      </c>
      <c r="I138" s="331">
        <v>866980</v>
      </c>
      <c r="J138" s="331">
        <v>0</v>
      </c>
      <c r="K138" s="331">
        <f t="shared" si="8"/>
        <v>866980</v>
      </c>
      <c r="L138" s="199">
        <v>1.4</v>
      </c>
      <c r="M138" s="199">
        <v>1</v>
      </c>
    </row>
    <row r="139" spans="1:13" ht="15" customHeight="1" x14ac:dyDescent="0.25">
      <c r="A139" s="49">
        <v>2009</v>
      </c>
      <c r="B139" s="330" t="s">
        <v>5</v>
      </c>
      <c r="C139" s="331">
        <v>79605030654</v>
      </c>
      <c r="D139" s="331">
        <v>16348252288</v>
      </c>
      <c r="E139" s="331">
        <v>216872413</v>
      </c>
      <c r="F139" s="331">
        <v>961487</v>
      </c>
      <c r="G139" s="370">
        <f t="shared" si="6"/>
        <v>1.2078219078629136E-5</v>
      </c>
      <c r="H139" s="370">
        <f t="shared" si="7"/>
        <v>5.8812831063645499E-5</v>
      </c>
      <c r="I139" s="331">
        <v>168909</v>
      </c>
      <c r="J139" s="331">
        <v>0</v>
      </c>
      <c r="K139" s="331">
        <f t="shared" si="8"/>
        <v>168909</v>
      </c>
      <c r="L139" s="199">
        <v>1.3</v>
      </c>
      <c r="M139" s="199">
        <v>0.9</v>
      </c>
    </row>
    <row r="140" spans="1:13" ht="15" customHeight="1" x14ac:dyDescent="0.25">
      <c r="A140" s="49">
        <v>2010</v>
      </c>
      <c r="B140" s="330" t="s">
        <v>5</v>
      </c>
      <c r="C140" s="331">
        <v>79279192663</v>
      </c>
      <c r="D140" s="331">
        <v>16099014132</v>
      </c>
      <c r="E140" s="331">
        <v>322043571</v>
      </c>
      <c r="F140" s="331">
        <v>697566</v>
      </c>
      <c r="G140" s="370">
        <f t="shared" si="6"/>
        <v>8.798853476790734E-6</v>
      </c>
      <c r="H140" s="370">
        <f t="shared" si="7"/>
        <v>4.3329733999888137E-5</v>
      </c>
      <c r="I140" s="331">
        <v>10974</v>
      </c>
      <c r="J140" s="331">
        <v>236446</v>
      </c>
      <c r="K140" s="331">
        <f t="shared" si="8"/>
        <v>-225472</v>
      </c>
      <c r="L140" s="199">
        <v>2</v>
      </c>
      <c r="M140" s="199">
        <v>0.95</v>
      </c>
    </row>
    <row r="141" spans="1:13" x14ac:dyDescent="0.25">
      <c r="A141" s="49">
        <v>2011</v>
      </c>
      <c r="B141" s="330" t="s">
        <v>5</v>
      </c>
      <c r="C141" s="331">
        <v>83013777778</v>
      </c>
      <c r="D141" s="331">
        <v>16552570252</v>
      </c>
      <c r="E141" s="331">
        <v>366996084</v>
      </c>
      <c r="F141" s="331">
        <v>535484</v>
      </c>
      <c r="G141" s="370">
        <f t="shared" si="6"/>
        <v>6.4505436848329044E-6</v>
      </c>
      <c r="H141" s="370">
        <f t="shared" si="7"/>
        <v>3.2350504595218318E-5</v>
      </c>
      <c r="I141" s="331">
        <v>10942</v>
      </c>
      <c r="J141" s="331">
        <v>361957</v>
      </c>
      <c r="K141" s="331">
        <f t="shared" si="8"/>
        <v>-351015</v>
      </c>
      <c r="L141" s="199">
        <v>2.2000000000000002</v>
      </c>
      <c r="M141" s="199">
        <v>0.95</v>
      </c>
    </row>
    <row r="142" spans="1:13" ht="15" customHeight="1" x14ac:dyDescent="0.25">
      <c r="A142" s="49">
        <v>2012</v>
      </c>
      <c r="B142" s="330" t="s">
        <v>5</v>
      </c>
      <c r="C142" s="331">
        <v>87438080471</v>
      </c>
      <c r="D142" s="331">
        <v>17090159096</v>
      </c>
      <c r="E142" s="331">
        <v>401973750</v>
      </c>
      <c r="F142" s="331">
        <v>424509</v>
      </c>
      <c r="G142" s="370">
        <f t="shared" si="6"/>
        <v>4.8549670545523242E-6</v>
      </c>
      <c r="H142" s="370">
        <f t="shared" si="7"/>
        <v>2.4839382571889428E-5</v>
      </c>
      <c r="I142" s="331">
        <v>6655</v>
      </c>
      <c r="J142" s="331">
        <v>312940</v>
      </c>
      <c r="K142" s="331">
        <f t="shared" si="8"/>
        <v>-306285</v>
      </c>
      <c r="L142" s="199">
        <v>2.35</v>
      </c>
      <c r="M142" s="199">
        <v>0.95</v>
      </c>
    </row>
    <row r="143" spans="1:13" ht="15" customHeight="1" x14ac:dyDescent="0.25">
      <c r="A143" s="49">
        <v>2013</v>
      </c>
      <c r="B143" s="330" t="s">
        <v>5</v>
      </c>
      <c r="C143" s="331">
        <v>90583738771</v>
      </c>
      <c r="D143" s="331">
        <v>17761443708</v>
      </c>
      <c r="E143" s="331">
        <v>417538731</v>
      </c>
      <c r="F143" s="331">
        <v>332172</v>
      </c>
      <c r="G143" s="370">
        <f t="shared" si="6"/>
        <v>3.6670157856891581E-6</v>
      </c>
      <c r="H143" s="370">
        <f t="shared" si="7"/>
        <v>1.8701858106860148E-5</v>
      </c>
      <c r="I143" s="331">
        <v>25745</v>
      </c>
      <c r="J143" s="331">
        <v>0</v>
      </c>
      <c r="K143" s="331">
        <f t="shared" si="8"/>
        <v>25745</v>
      </c>
      <c r="L143" s="199">
        <v>2.35</v>
      </c>
      <c r="M143" s="199">
        <v>0.95</v>
      </c>
    </row>
    <row r="144" spans="1:13" ht="15" customHeight="1" x14ac:dyDescent="0.25">
      <c r="A144" s="49">
        <v>2014</v>
      </c>
      <c r="B144" s="330" t="s">
        <v>5</v>
      </c>
      <c r="C144" s="331">
        <v>94736996780</v>
      </c>
      <c r="D144" s="331">
        <v>18309835415</v>
      </c>
      <c r="E144" s="331">
        <v>426344333</v>
      </c>
      <c r="F144" s="331">
        <v>322329</v>
      </c>
      <c r="G144" s="370">
        <f t="shared" si="6"/>
        <v>3.402356111715451E-6</v>
      </c>
      <c r="H144" s="370">
        <f t="shared" si="7"/>
        <v>1.7604145132617512E-5</v>
      </c>
      <c r="I144" s="331">
        <v>2208</v>
      </c>
      <c r="J144" s="331">
        <v>68073</v>
      </c>
      <c r="K144" s="331">
        <f t="shared" si="8"/>
        <v>-65865</v>
      </c>
      <c r="L144" s="333">
        <v>2.3284989915896519</v>
      </c>
      <c r="M144" s="199">
        <v>0.95</v>
      </c>
    </row>
    <row r="145" spans="1:13" ht="15" customHeight="1" x14ac:dyDescent="0.25">
      <c r="A145" s="49">
        <v>2015</v>
      </c>
      <c r="B145" s="330" t="s">
        <v>5</v>
      </c>
      <c r="C145" s="334">
        <v>99800469000</v>
      </c>
      <c r="D145" s="334">
        <v>19087571000</v>
      </c>
      <c r="E145" s="334">
        <v>446806000</v>
      </c>
      <c r="F145" s="331">
        <v>274771</v>
      </c>
      <c r="G145" s="370">
        <f t="shared" si="6"/>
        <v>2.7532034944645399E-6</v>
      </c>
      <c r="H145" s="370">
        <f t="shared" si="7"/>
        <v>1.4395283716298946E-5</v>
      </c>
      <c r="I145" s="331">
        <v>102435</v>
      </c>
      <c r="J145" s="199">
        <v>0</v>
      </c>
      <c r="K145" s="331">
        <f t="shared" si="8"/>
        <v>102435</v>
      </c>
      <c r="L145" s="199">
        <v>2.2999999999999998</v>
      </c>
      <c r="M145" s="199">
        <v>0.95</v>
      </c>
    </row>
    <row r="146" spans="1:13" ht="15" customHeight="1" x14ac:dyDescent="0.25">
      <c r="A146" s="49">
        <v>1980</v>
      </c>
      <c r="B146" s="330" t="s">
        <v>6</v>
      </c>
      <c r="C146" s="331">
        <v>122745668953</v>
      </c>
      <c r="D146" s="331">
        <v>51569306484</v>
      </c>
      <c r="E146" s="331">
        <v>1363016775</v>
      </c>
      <c r="F146" s="331">
        <v>1357892</v>
      </c>
      <c r="G146" s="370">
        <f t="shared" si="6"/>
        <v>1.1062646947811612E-5</v>
      </c>
      <c r="H146" s="370">
        <f t="shared" si="7"/>
        <v>2.633139928731255E-5</v>
      </c>
      <c r="I146" s="331">
        <v>3087861</v>
      </c>
      <c r="J146" s="331">
        <v>0</v>
      </c>
      <c r="K146" s="331">
        <f t="shared" si="8"/>
        <v>3087861</v>
      </c>
      <c r="L146" s="199">
        <v>2.64</v>
      </c>
      <c r="M146" s="199">
        <v>2.11</v>
      </c>
    </row>
    <row r="147" spans="1:13" ht="15" customHeight="1" x14ac:dyDescent="0.25">
      <c r="A147" s="49">
        <v>1981</v>
      </c>
      <c r="B147" s="330" t="s">
        <v>6</v>
      </c>
      <c r="C147" s="331">
        <v>136807562958</v>
      </c>
      <c r="D147" s="331">
        <v>53691597450</v>
      </c>
      <c r="E147" s="331">
        <v>1371942062</v>
      </c>
      <c r="F147" s="331">
        <v>1401410</v>
      </c>
      <c r="G147" s="370">
        <f t="shared" si="6"/>
        <v>1.0243658827766954E-5</v>
      </c>
      <c r="H147" s="370">
        <f t="shared" si="7"/>
        <v>2.6101104577956639E-5</v>
      </c>
      <c r="I147" s="331">
        <v>3352970</v>
      </c>
      <c r="J147" s="331">
        <v>0</v>
      </c>
      <c r="K147" s="331">
        <f t="shared" si="8"/>
        <v>3352970</v>
      </c>
      <c r="L147" s="199">
        <v>2.56</v>
      </c>
      <c r="M147" s="199">
        <v>2.0299999999999998</v>
      </c>
    </row>
    <row r="148" spans="1:13" ht="15" customHeight="1" x14ac:dyDescent="0.25">
      <c r="A148" s="49">
        <v>1982</v>
      </c>
      <c r="B148" s="330" t="s">
        <v>6</v>
      </c>
      <c r="C148" s="331">
        <v>144034611205</v>
      </c>
      <c r="D148" s="331">
        <v>52285601014</v>
      </c>
      <c r="E148" s="331">
        <v>1455620961</v>
      </c>
      <c r="F148" s="331">
        <v>2233015</v>
      </c>
      <c r="G148" s="370">
        <f t="shared" si="6"/>
        <v>1.5503322300928205E-5</v>
      </c>
      <c r="H148" s="370">
        <f t="shared" si="7"/>
        <v>4.270802968109877E-5</v>
      </c>
      <c r="I148" s="331">
        <v>2707650</v>
      </c>
      <c r="J148" s="331">
        <v>0</v>
      </c>
      <c r="K148" s="331">
        <f t="shared" si="8"/>
        <v>2707650</v>
      </c>
      <c r="L148" s="199">
        <v>2.78</v>
      </c>
      <c r="M148" s="199">
        <v>2.0299999999999998</v>
      </c>
    </row>
    <row r="149" spans="1:13" ht="15" customHeight="1" x14ac:dyDescent="0.25">
      <c r="A149" s="49">
        <v>1983</v>
      </c>
      <c r="B149" s="330" t="s">
        <v>6</v>
      </c>
      <c r="C149" s="331">
        <v>155097941740</v>
      </c>
      <c r="D149" s="331">
        <v>60271671604</v>
      </c>
      <c r="E149" s="331">
        <v>1611020146</v>
      </c>
      <c r="F149" s="331">
        <v>2155947</v>
      </c>
      <c r="G149" s="370">
        <f t="shared" si="6"/>
        <v>1.3900551972598988E-5</v>
      </c>
      <c r="H149" s="370">
        <f t="shared" si="7"/>
        <v>3.5770486243771577E-5</v>
      </c>
      <c r="I149" s="331">
        <v>2169348</v>
      </c>
      <c r="J149" s="331">
        <v>0</v>
      </c>
      <c r="K149" s="331">
        <f t="shared" si="8"/>
        <v>2169348</v>
      </c>
      <c r="L149" s="199">
        <v>2.67</v>
      </c>
      <c r="M149" s="199">
        <v>2.02</v>
      </c>
    </row>
    <row r="150" spans="1:13" ht="15" customHeight="1" x14ac:dyDescent="0.25">
      <c r="A150" s="49">
        <v>1984</v>
      </c>
      <c r="B150" s="330" t="s">
        <v>6</v>
      </c>
      <c r="C150" s="331">
        <v>173699230947</v>
      </c>
      <c r="D150" s="331">
        <v>65608576164</v>
      </c>
      <c r="E150" s="331">
        <v>2146666828</v>
      </c>
      <c r="F150" s="331">
        <v>1614327</v>
      </c>
      <c r="G150" s="370">
        <f t="shared" si="6"/>
        <v>9.2938062603890957E-6</v>
      </c>
      <c r="H150" s="370">
        <f t="shared" si="7"/>
        <v>2.4605426521750907E-5</v>
      </c>
      <c r="I150" s="331">
        <v>2810732</v>
      </c>
      <c r="J150" s="331">
        <v>0</v>
      </c>
      <c r="K150" s="331">
        <f t="shared" si="8"/>
        <v>2810732</v>
      </c>
      <c r="L150" s="199">
        <v>3.27</v>
      </c>
      <c r="M150" s="199">
        <v>2.0099999999999998</v>
      </c>
    </row>
    <row r="151" spans="1:13" ht="15" customHeight="1" x14ac:dyDescent="0.25">
      <c r="A151" s="49">
        <v>1985</v>
      </c>
      <c r="B151" s="330" t="s">
        <v>6</v>
      </c>
      <c r="C151" s="331">
        <v>189504460109</v>
      </c>
      <c r="D151" s="331">
        <v>68875395995</v>
      </c>
      <c r="E151" s="331">
        <v>2174777232</v>
      </c>
      <c r="F151" s="331">
        <v>1888219</v>
      </c>
      <c r="G151" s="370">
        <f t="shared" si="6"/>
        <v>9.9639818446168818E-6</v>
      </c>
      <c r="H151" s="370">
        <f t="shared" si="7"/>
        <v>2.741500027291422E-5</v>
      </c>
      <c r="I151" s="331">
        <v>3504521</v>
      </c>
      <c r="J151" s="331">
        <v>0</v>
      </c>
      <c r="K151" s="331">
        <f t="shared" si="8"/>
        <v>3504521</v>
      </c>
      <c r="L151" s="199">
        <v>3.16</v>
      </c>
      <c r="M151" s="199">
        <v>1.98</v>
      </c>
    </row>
    <row r="152" spans="1:13" ht="15" customHeight="1" x14ac:dyDescent="0.25">
      <c r="A152" s="49">
        <v>1986</v>
      </c>
      <c r="B152" s="330" t="s">
        <v>6</v>
      </c>
      <c r="C152" s="331">
        <v>204630994198</v>
      </c>
      <c r="D152" s="331">
        <v>72207025151</v>
      </c>
      <c r="E152" s="331">
        <v>1690634350</v>
      </c>
      <c r="F152" s="331">
        <v>2073720</v>
      </c>
      <c r="G152" s="370">
        <f t="shared" si="6"/>
        <v>1.0133948711569461E-5</v>
      </c>
      <c r="H152" s="370">
        <f t="shared" si="7"/>
        <v>2.8719089252928196E-5</v>
      </c>
      <c r="I152" s="331">
        <v>3533594</v>
      </c>
      <c r="J152" s="331">
        <v>0</v>
      </c>
      <c r="K152" s="331">
        <f t="shared" si="8"/>
        <v>3533594</v>
      </c>
      <c r="L152" s="199">
        <v>2.34</v>
      </c>
      <c r="M152" s="199">
        <v>1.98</v>
      </c>
    </row>
    <row r="153" spans="1:13" ht="15" customHeight="1" x14ac:dyDescent="0.25">
      <c r="A153" s="49">
        <v>1987</v>
      </c>
      <c r="B153" s="330" t="s">
        <v>6</v>
      </c>
      <c r="C153" s="331">
        <v>224457123235</v>
      </c>
      <c r="D153" s="331">
        <v>75315928722</v>
      </c>
      <c r="E153" s="331">
        <v>1990634339</v>
      </c>
      <c r="F153" s="331">
        <v>1755069</v>
      </c>
      <c r="G153" s="370">
        <f t="shared" si="6"/>
        <v>7.8191726540239691E-6</v>
      </c>
      <c r="H153" s="370">
        <f t="shared" si="7"/>
        <v>2.3302759851480651E-5</v>
      </c>
      <c r="I153" s="331">
        <v>4017087</v>
      </c>
      <c r="J153" s="331">
        <v>0</v>
      </c>
      <c r="K153" s="331">
        <f t="shared" si="8"/>
        <v>4017087</v>
      </c>
      <c r="L153" s="199">
        <v>2.64</v>
      </c>
      <c r="M153" s="199">
        <v>1.98</v>
      </c>
    </row>
    <row r="154" spans="1:13" ht="15" customHeight="1" x14ac:dyDescent="0.25">
      <c r="A154" s="49">
        <v>1988</v>
      </c>
      <c r="B154" s="330" t="s">
        <v>6</v>
      </c>
      <c r="C154" s="331">
        <v>244002823492</v>
      </c>
      <c r="D154" s="331">
        <v>79496796804</v>
      </c>
      <c r="E154" s="331">
        <v>1878936119</v>
      </c>
      <c r="F154" s="331">
        <v>1611228</v>
      </c>
      <c r="G154" s="370">
        <f t="shared" si="6"/>
        <v>6.6033170310950375E-6</v>
      </c>
      <c r="H154" s="370">
        <f t="shared" si="7"/>
        <v>2.0267835494963349E-5</v>
      </c>
      <c r="I154" s="331">
        <v>4706123</v>
      </c>
      <c r="J154" s="331">
        <v>0</v>
      </c>
      <c r="K154" s="331">
        <f t="shared" si="8"/>
        <v>4706123</v>
      </c>
      <c r="L154" s="199">
        <v>2.36</v>
      </c>
      <c r="M154" s="199">
        <v>1.98</v>
      </c>
    </row>
    <row r="155" spans="1:13" ht="15" customHeight="1" x14ac:dyDescent="0.25">
      <c r="A155" s="49">
        <v>1989</v>
      </c>
      <c r="B155" s="330" t="s">
        <v>6</v>
      </c>
      <c r="C155" s="331">
        <v>260318179594</v>
      </c>
      <c r="D155" s="331">
        <v>82914879993</v>
      </c>
      <c r="E155" s="331">
        <v>1883982306</v>
      </c>
      <c r="F155" s="331">
        <v>1597637</v>
      </c>
      <c r="G155" s="370">
        <f t="shared" si="6"/>
        <v>6.1372471276947405E-6</v>
      </c>
      <c r="H155" s="370">
        <f t="shared" si="7"/>
        <v>1.926839911165377E-5</v>
      </c>
      <c r="I155" s="331">
        <v>5419473</v>
      </c>
      <c r="J155" s="331">
        <v>0</v>
      </c>
      <c r="K155" s="331">
        <f t="shared" si="8"/>
        <v>5419473</v>
      </c>
      <c r="L155" s="199">
        <v>2.27</v>
      </c>
      <c r="M155" s="199">
        <v>1.98</v>
      </c>
    </row>
    <row r="156" spans="1:13" ht="15" customHeight="1" x14ac:dyDescent="0.25">
      <c r="A156" s="49">
        <v>1990</v>
      </c>
      <c r="B156" s="330" t="s">
        <v>6</v>
      </c>
      <c r="C156" s="331">
        <v>277388017454</v>
      </c>
      <c r="D156" s="331">
        <v>84283754897</v>
      </c>
      <c r="E156" s="331">
        <v>1695631753</v>
      </c>
      <c r="F156" s="331">
        <v>2175097</v>
      </c>
      <c r="G156" s="370">
        <f t="shared" si="6"/>
        <v>7.8413516919875678E-6</v>
      </c>
      <c r="H156" s="370">
        <f t="shared" si="7"/>
        <v>2.5806835524332111E-5</v>
      </c>
      <c r="I156" s="331">
        <v>5525268</v>
      </c>
      <c r="J156" s="331">
        <v>0</v>
      </c>
      <c r="K156" s="331">
        <f t="shared" si="8"/>
        <v>5525268</v>
      </c>
      <c r="L156" s="199">
        <v>2.0099999999999998</v>
      </c>
      <c r="M156" s="199">
        <v>1.98</v>
      </c>
    </row>
    <row r="157" spans="1:13" ht="15" customHeight="1" x14ac:dyDescent="0.25">
      <c r="A157" s="49">
        <v>1991</v>
      </c>
      <c r="B157" s="330" t="s">
        <v>6</v>
      </c>
      <c r="C157" s="331">
        <v>276167267725</v>
      </c>
      <c r="D157" s="331">
        <v>81321882145</v>
      </c>
      <c r="E157" s="331">
        <v>1624444123</v>
      </c>
      <c r="F157" s="331">
        <v>3411053</v>
      </c>
      <c r="G157" s="370">
        <f t="shared" si="6"/>
        <v>1.2351402206711317E-5</v>
      </c>
      <c r="H157" s="370">
        <f t="shared" si="7"/>
        <v>4.1945081815961455E-5</v>
      </c>
      <c r="I157" s="331">
        <v>4190197</v>
      </c>
      <c r="J157" s="331">
        <v>0</v>
      </c>
      <c r="K157" s="331">
        <f t="shared" si="8"/>
        <v>4190197</v>
      </c>
      <c r="L157" s="199">
        <v>2</v>
      </c>
      <c r="M157" s="199">
        <v>1.89</v>
      </c>
    </row>
    <row r="158" spans="1:13" ht="15" customHeight="1" x14ac:dyDescent="0.25">
      <c r="A158" s="49">
        <v>1992</v>
      </c>
      <c r="B158" s="330" t="s">
        <v>6</v>
      </c>
      <c r="C158" s="331">
        <v>282862444910</v>
      </c>
      <c r="D158" s="331">
        <v>79211871765</v>
      </c>
      <c r="E158" s="331">
        <v>2068443478</v>
      </c>
      <c r="F158" s="331">
        <v>3744443</v>
      </c>
      <c r="G158" s="370">
        <f t="shared" si="6"/>
        <v>1.3237681662517594E-5</v>
      </c>
      <c r="H158" s="370">
        <f t="shared" si="7"/>
        <v>4.7271234936964247E-5</v>
      </c>
      <c r="I158" s="331">
        <v>2786713</v>
      </c>
      <c r="J158" s="331">
        <v>0</v>
      </c>
      <c r="K158" s="331">
        <f t="shared" si="8"/>
        <v>2786713</v>
      </c>
      <c r="L158" s="199">
        <v>2.61</v>
      </c>
      <c r="M158" s="199">
        <v>1.89</v>
      </c>
    </row>
    <row r="159" spans="1:13" ht="15" customHeight="1" x14ac:dyDescent="0.25">
      <c r="A159" s="49">
        <v>1993</v>
      </c>
      <c r="B159" s="330" t="s">
        <v>6</v>
      </c>
      <c r="C159" s="331">
        <v>282701273247</v>
      </c>
      <c r="D159" s="331">
        <v>78555115978</v>
      </c>
      <c r="E159" s="331">
        <v>2755380485</v>
      </c>
      <c r="F159" s="331">
        <v>3297785</v>
      </c>
      <c r="G159" s="370">
        <f t="shared" si="6"/>
        <v>1.1665264051070189E-5</v>
      </c>
      <c r="H159" s="370">
        <f t="shared" si="7"/>
        <v>4.198052487025252E-5</v>
      </c>
      <c r="I159" s="331">
        <v>2450402</v>
      </c>
      <c r="J159" s="331">
        <v>0</v>
      </c>
      <c r="K159" s="331">
        <f t="shared" si="8"/>
        <v>2450402</v>
      </c>
      <c r="L159" s="199">
        <v>3.51</v>
      </c>
      <c r="M159" s="199">
        <v>1.89</v>
      </c>
    </row>
    <row r="160" spans="1:13" ht="15" customHeight="1" x14ac:dyDescent="0.25">
      <c r="A160" s="49">
        <v>1994</v>
      </c>
      <c r="B160" s="330" t="s">
        <v>6</v>
      </c>
      <c r="C160" s="331">
        <v>290366247890</v>
      </c>
      <c r="D160" s="331">
        <v>80324924257</v>
      </c>
      <c r="E160" s="331">
        <v>2853097956</v>
      </c>
      <c r="F160" s="331">
        <v>3261178</v>
      </c>
      <c r="G160" s="370">
        <f t="shared" si="6"/>
        <v>1.1231257157806573E-5</v>
      </c>
      <c r="H160" s="370">
        <f t="shared" si="7"/>
        <v>4.0599826643668463E-5</v>
      </c>
      <c r="I160" s="331">
        <v>2092695</v>
      </c>
      <c r="J160" s="331">
        <v>0</v>
      </c>
      <c r="K160" s="331">
        <f t="shared" si="8"/>
        <v>2092695</v>
      </c>
      <c r="L160" s="199">
        <v>3.55</v>
      </c>
      <c r="M160" s="199">
        <v>1.89</v>
      </c>
    </row>
    <row r="161" spans="1:13" ht="15" customHeight="1" x14ac:dyDescent="0.25">
      <c r="A161" s="49">
        <v>1995</v>
      </c>
      <c r="B161" s="330" t="s">
        <v>6</v>
      </c>
      <c r="C161" s="331">
        <v>307522726159</v>
      </c>
      <c r="D161" s="331">
        <v>82907020215</v>
      </c>
      <c r="E161" s="331">
        <v>2955670884</v>
      </c>
      <c r="F161" s="331">
        <v>2963739</v>
      </c>
      <c r="G161" s="370">
        <f t="shared" si="6"/>
        <v>9.6374633413845432E-6</v>
      </c>
      <c r="H161" s="370">
        <f t="shared" si="7"/>
        <v>3.5747744790661092E-5</v>
      </c>
      <c r="I161" s="331">
        <v>2104220</v>
      </c>
      <c r="J161" s="331">
        <v>0</v>
      </c>
      <c r="K161" s="331">
        <f t="shared" si="8"/>
        <v>2104220</v>
      </c>
      <c r="L161" s="199">
        <v>3.57</v>
      </c>
      <c r="M161" s="199">
        <v>1.63</v>
      </c>
    </row>
    <row r="162" spans="1:13" ht="15" customHeight="1" x14ac:dyDescent="0.25">
      <c r="A162" s="49">
        <v>1996</v>
      </c>
      <c r="B162" s="330" t="s">
        <v>6</v>
      </c>
      <c r="C162" s="331">
        <v>330646975416</v>
      </c>
      <c r="D162" s="331">
        <v>82639305225</v>
      </c>
      <c r="E162" s="331">
        <v>3110149794</v>
      </c>
      <c r="F162" s="331">
        <v>2806175</v>
      </c>
      <c r="G162" s="370">
        <f t="shared" si="6"/>
        <v>8.4869217281344877E-6</v>
      </c>
      <c r="H162" s="370">
        <f t="shared" si="7"/>
        <v>3.3956904554796251E-5</v>
      </c>
      <c r="I162" s="331">
        <v>2877452</v>
      </c>
      <c r="J162" s="331">
        <v>0</v>
      </c>
      <c r="K162" s="331">
        <f t="shared" si="8"/>
        <v>2877452</v>
      </c>
      <c r="L162" s="199">
        <v>3.76</v>
      </c>
      <c r="M162" s="199">
        <v>1.52</v>
      </c>
    </row>
    <row r="163" spans="1:13" ht="15" customHeight="1" x14ac:dyDescent="0.25">
      <c r="A163" s="49">
        <v>1997</v>
      </c>
      <c r="B163" s="330" t="s">
        <v>6</v>
      </c>
      <c r="C163" s="331">
        <v>369778533656</v>
      </c>
      <c r="D163" s="331">
        <v>73868417732</v>
      </c>
      <c r="E163" s="331">
        <v>2500495369</v>
      </c>
      <c r="F163" s="331">
        <v>2447456</v>
      </c>
      <c r="G163" s="370">
        <f t="shared" si="6"/>
        <v>6.6187076242690587E-6</v>
      </c>
      <c r="H163" s="370">
        <f t="shared" si="7"/>
        <v>3.3132644168439463E-5</v>
      </c>
      <c r="I163" s="331">
        <v>3737815</v>
      </c>
      <c r="J163" s="331">
        <v>0</v>
      </c>
      <c r="K163" s="331">
        <f t="shared" si="8"/>
        <v>3737815</v>
      </c>
      <c r="L163" s="199">
        <v>3.29</v>
      </c>
      <c r="M163" s="199">
        <v>1.49</v>
      </c>
    </row>
    <row r="164" spans="1:13" ht="15" customHeight="1" x14ac:dyDescent="0.25">
      <c r="A164" s="49">
        <v>1998</v>
      </c>
      <c r="B164" s="330" t="s">
        <v>6</v>
      </c>
      <c r="C164" s="331">
        <v>396608107268</v>
      </c>
      <c r="D164" s="331">
        <v>87992643199</v>
      </c>
      <c r="E164" s="331">
        <v>2639357158</v>
      </c>
      <c r="F164" s="331">
        <v>2438278</v>
      </c>
      <c r="G164" s="370">
        <f t="shared" si="6"/>
        <v>6.147826923649804E-6</v>
      </c>
      <c r="H164" s="370">
        <f t="shared" si="7"/>
        <v>2.7710021103533689E-5</v>
      </c>
      <c r="I164" s="331">
        <v>4467207</v>
      </c>
      <c r="J164" s="331">
        <v>0</v>
      </c>
      <c r="K164" s="331">
        <f t="shared" si="8"/>
        <v>4467207</v>
      </c>
      <c r="L164" s="199">
        <v>3</v>
      </c>
      <c r="M164" s="199">
        <v>1.49</v>
      </c>
    </row>
    <row r="165" spans="1:13" ht="15" customHeight="1" x14ac:dyDescent="0.25">
      <c r="A165" s="49">
        <v>1999</v>
      </c>
      <c r="B165" s="330" t="s">
        <v>6</v>
      </c>
      <c r="C165" s="331">
        <v>437776196830</v>
      </c>
      <c r="D165" s="331">
        <v>93371355546</v>
      </c>
      <c r="E165" s="331">
        <v>2486387648</v>
      </c>
      <c r="F165" s="331">
        <v>2491974</v>
      </c>
      <c r="G165" s="370">
        <f t="shared" si="6"/>
        <v>5.6923469527231948E-6</v>
      </c>
      <c r="H165" s="370">
        <f t="shared" si="7"/>
        <v>2.6688848902619958E-5</v>
      </c>
      <c r="I165" s="331">
        <v>4929637</v>
      </c>
      <c r="J165" s="331">
        <v>0</v>
      </c>
      <c r="K165" s="331">
        <f t="shared" si="8"/>
        <v>4929637</v>
      </c>
      <c r="L165" s="199">
        <v>2.66</v>
      </c>
      <c r="M165" s="199">
        <v>1.49</v>
      </c>
    </row>
    <row r="166" spans="1:13" ht="15" customHeight="1" x14ac:dyDescent="0.25">
      <c r="A166" s="49">
        <v>2000</v>
      </c>
      <c r="B166" s="330" t="s">
        <v>6</v>
      </c>
      <c r="C166" s="331">
        <v>500655685862</v>
      </c>
      <c r="D166" s="331">
        <v>100292096217</v>
      </c>
      <c r="E166" s="331">
        <v>2667423624</v>
      </c>
      <c r="F166" s="331">
        <v>2267962</v>
      </c>
      <c r="G166" s="370">
        <f t="shared" si="6"/>
        <v>4.5299835077177929E-6</v>
      </c>
      <c r="H166" s="370">
        <f t="shared" si="7"/>
        <v>2.2613566627352727E-5</v>
      </c>
      <c r="I166" s="331">
        <v>5803711</v>
      </c>
      <c r="J166" s="331">
        <v>0</v>
      </c>
      <c r="K166" s="331">
        <f t="shared" si="8"/>
        <v>5803711</v>
      </c>
      <c r="L166" s="199">
        <v>2.66</v>
      </c>
      <c r="M166" s="199">
        <v>1.49</v>
      </c>
    </row>
    <row r="167" spans="1:13" ht="15" customHeight="1" x14ac:dyDescent="0.25">
      <c r="A167" s="49">
        <v>2001</v>
      </c>
      <c r="B167" s="330" t="s">
        <v>6</v>
      </c>
      <c r="C167" s="331">
        <v>498116833469</v>
      </c>
      <c r="D167" s="331">
        <v>101892727307</v>
      </c>
      <c r="E167" s="331">
        <v>2620508436</v>
      </c>
      <c r="F167" s="331">
        <v>3217031</v>
      </c>
      <c r="G167" s="370">
        <f t="shared" si="6"/>
        <v>6.4583864343548835E-6</v>
      </c>
      <c r="H167" s="370">
        <f t="shared" si="7"/>
        <v>3.1572724423276779E-5</v>
      </c>
      <c r="I167" s="331">
        <v>5689438</v>
      </c>
      <c r="J167" s="331">
        <v>0</v>
      </c>
      <c r="K167" s="331">
        <f t="shared" si="8"/>
        <v>5689438</v>
      </c>
      <c r="L167" s="199">
        <v>2.57</v>
      </c>
      <c r="M167" s="199">
        <v>1.49</v>
      </c>
    </row>
    <row r="168" spans="1:13" ht="15" customHeight="1" x14ac:dyDescent="0.25">
      <c r="A168" s="49">
        <v>2002</v>
      </c>
      <c r="B168" s="330" t="s">
        <v>6</v>
      </c>
      <c r="C168" s="331">
        <v>486170062288</v>
      </c>
      <c r="D168" s="331">
        <v>99767031481</v>
      </c>
      <c r="E168" s="331">
        <v>2494191684</v>
      </c>
      <c r="F168" s="331">
        <v>5820096</v>
      </c>
      <c r="G168" s="370">
        <f t="shared" si="6"/>
        <v>1.1971317140775033E-5</v>
      </c>
      <c r="H168" s="370">
        <f t="shared" si="7"/>
        <v>5.8336866533995253E-5</v>
      </c>
      <c r="I168" s="331">
        <v>3702684</v>
      </c>
      <c r="J168" s="331">
        <v>0</v>
      </c>
      <c r="K168" s="331">
        <f t="shared" si="8"/>
        <v>3702684</v>
      </c>
      <c r="L168" s="199">
        <v>2.5</v>
      </c>
      <c r="M168" s="199">
        <v>1.49</v>
      </c>
    </row>
    <row r="169" spans="1:13" ht="15" customHeight="1" x14ac:dyDescent="0.25">
      <c r="A169" s="49">
        <v>2003</v>
      </c>
      <c r="B169" s="330" t="s">
        <v>6</v>
      </c>
      <c r="C169" s="331">
        <v>496318275479</v>
      </c>
      <c r="D169" s="331">
        <v>99361360075</v>
      </c>
      <c r="E169" s="331">
        <v>2989234217</v>
      </c>
      <c r="F169" s="331">
        <v>5761405</v>
      </c>
      <c r="G169" s="370">
        <f t="shared" si="6"/>
        <v>1.1608287030010391E-5</v>
      </c>
      <c r="H169" s="370">
        <f t="shared" si="7"/>
        <v>5.798436128139926E-5</v>
      </c>
      <c r="I169" s="331">
        <v>961713</v>
      </c>
      <c r="J169" s="331">
        <v>0</v>
      </c>
      <c r="K169" s="331">
        <f t="shared" si="8"/>
        <v>961713</v>
      </c>
      <c r="L169" s="199">
        <v>3.01</v>
      </c>
      <c r="M169" s="199">
        <v>1.49</v>
      </c>
    </row>
    <row r="170" spans="1:13" ht="15" customHeight="1" x14ac:dyDescent="0.25">
      <c r="A170" s="49">
        <v>2004</v>
      </c>
      <c r="B170" s="330" t="s">
        <v>6</v>
      </c>
      <c r="C170" s="331">
        <v>529067672732</v>
      </c>
      <c r="D170" s="331">
        <v>100381200693</v>
      </c>
      <c r="E170" s="331">
        <v>4518760602</v>
      </c>
      <c r="F170" s="331">
        <v>4699124</v>
      </c>
      <c r="G170" s="370">
        <f t="shared" si="6"/>
        <v>8.8818959127377047E-6</v>
      </c>
      <c r="H170" s="370">
        <f t="shared" si="7"/>
        <v>4.681278932268928E-5</v>
      </c>
      <c r="I170" s="331">
        <v>693970</v>
      </c>
      <c r="J170" s="331">
        <v>0</v>
      </c>
      <c r="K170" s="331">
        <f t="shared" si="8"/>
        <v>693970</v>
      </c>
      <c r="L170" s="199">
        <v>4.5</v>
      </c>
      <c r="M170" s="199">
        <v>1.49</v>
      </c>
    </row>
    <row r="171" spans="1:13" ht="15" customHeight="1" x14ac:dyDescent="0.25">
      <c r="A171" s="49">
        <v>2005</v>
      </c>
      <c r="B171" s="330" t="s">
        <v>6</v>
      </c>
      <c r="C171" s="331">
        <v>559913719412</v>
      </c>
      <c r="D171" s="331">
        <v>105448160355</v>
      </c>
      <c r="E171" s="331">
        <v>4831128331</v>
      </c>
      <c r="F171" s="331">
        <v>4199894</v>
      </c>
      <c r="G171" s="370">
        <f t="shared" si="6"/>
        <v>7.500966406771687E-6</v>
      </c>
      <c r="H171" s="370">
        <f t="shared" si="7"/>
        <v>3.9828992614576755E-5</v>
      </c>
      <c r="I171" s="331">
        <v>1457070</v>
      </c>
      <c r="J171" s="331">
        <v>0</v>
      </c>
      <c r="K171" s="331">
        <f t="shared" si="8"/>
        <v>1457070</v>
      </c>
      <c r="L171" s="199">
        <v>4.58</v>
      </c>
      <c r="M171" s="199">
        <v>1.49</v>
      </c>
    </row>
    <row r="172" spans="1:13" ht="15" customHeight="1" x14ac:dyDescent="0.25">
      <c r="A172" s="49">
        <v>2006</v>
      </c>
      <c r="B172" s="330" t="s">
        <v>6</v>
      </c>
      <c r="C172" s="331">
        <v>596589166766</v>
      </c>
      <c r="D172" s="331">
        <v>109095091579</v>
      </c>
      <c r="E172" s="331">
        <v>4817367852</v>
      </c>
      <c r="F172" s="331">
        <v>4063636</v>
      </c>
      <c r="G172" s="370">
        <f t="shared" si="6"/>
        <v>6.8114478545231088E-6</v>
      </c>
      <c r="H172" s="370">
        <f t="shared" si="7"/>
        <v>3.7248568576133996E-5</v>
      </c>
      <c r="I172" s="331">
        <v>2400802</v>
      </c>
      <c r="J172" s="331">
        <v>0</v>
      </c>
      <c r="K172" s="331">
        <f t="shared" si="8"/>
        <v>2400802</v>
      </c>
      <c r="L172" s="199">
        <v>4.41</v>
      </c>
      <c r="M172" s="199">
        <v>1.49</v>
      </c>
    </row>
    <row r="173" spans="1:13" ht="15" customHeight="1" x14ac:dyDescent="0.25">
      <c r="A173" s="49">
        <v>2007</v>
      </c>
      <c r="B173" s="330" t="s">
        <v>6</v>
      </c>
      <c r="C173" s="331">
        <v>626712142211</v>
      </c>
      <c r="D173" s="331">
        <v>110154818173</v>
      </c>
      <c r="E173" s="331">
        <v>4598608858</v>
      </c>
      <c r="F173" s="331">
        <v>4858991</v>
      </c>
      <c r="G173" s="370">
        <f t="shared" si="6"/>
        <v>7.7531464172016731E-6</v>
      </c>
      <c r="H173" s="370">
        <f t="shared" si="7"/>
        <v>4.4110562575382522E-5</v>
      </c>
      <c r="I173" s="331">
        <v>2533133</v>
      </c>
      <c r="J173" s="331">
        <v>0</v>
      </c>
      <c r="K173" s="331">
        <f t="shared" si="8"/>
        <v>2533133</v>
      </c>
      <c r="L173" s="199">
        <v>4.17</v>
      </c>
      <c r="M173" s="199">
        <v>1.49</v>
      </c>
    </row>
    <row r="174" spans="1:13" ht="15" customHeight="1" x14ac:dyDescent="0.25">
      <c r="A174" s="49">
        <v>2008</v>
      </c>
      <c r="B174" s="330" t="s">
        <v>6</v>
      </c>
      <c r="C174" s="331">
        <v>625193443696</v>
      </c>
      <c r="D174" s="331">
        <v>106012795400</v>
      </c>
      <c r="E174" s="331">
        <v>4290725277</v>
      </c>
      <c r="F174" s="331">
        <v>6654997</v>
      </c>
      <c r="G174" s="370">
        <f t="shared" si="6"/>
        <v>1.0644700559649484E-5</v>
      </c>
      <c r="H174" s="370">
        <f t="shared" si="7"/>
        <v>6.277541286304011E-5</v>
      </c>
      <c r="I174" s="331">
        <v>639200</v>
      </c>
      <c r="J174" s="331">
        <v>0</v>
      </c>
      <c r="K174" s="331">
        <f t="shared" si="8"/>
        <v>639200</v>
      </c>
      <c r="L174" s="199">
        <v>4</v>
      </c>
      <c r="M174" s="199">
        <v>1.49</v>
      </c>
    </row>
    <row r="175" spans="1:13" ht="15" customHeight="1" x14ac:dyDescent="0.25">
      <c r="A175" s="49">
        <v>2009</v>
      </c>
      <c r="B175" s="330" t="s">
        <v>6</v>
      </c>
      <c r="C175" s="331">
        <v>579550506568</v>
      </c>
      <c r="D175" s="331">
        <v>96482034728</v>
      </c>
      <c r="E175" s="331">
        <v>4017475662</v>
      </c>
      <c r="F175" s="331">
        <v>10645766</v>
      </c>
      <c r="G175" s="370">
        <f t="shared" si="6"/>
        <v>1.8369004736174635E-5</v>
      </c>
      <c r="H175" s="370">
        <f t="shared" si="7"/>
        <v>1.1033936037949765E-4</v>
      </c>
      <c r="I175" s="331">
        <v>110875</v>
      </c>
      <c r="J175" s="331">
        <v>5984689</v>
      </c>
      <c r="K175" s="331">
        <f t="shared" si="8"/>
        <v>-5873814</v>
      </c>
      <c r="L175" s="199">
        <v>4.2</v>
      </c>
      <c r="M175" s="199">
        <v>1.47</v>
      </c>
    </row>
    <row r="176" spans="1:13" x14ac:dyDescent="0.25">
      <c r="A176" s="49">
        <v>2010</v>
      </c>
      <c r="B176" s="330" t="s">
        <v>6</v>
      </c>
      <c r="C176" s="331">
        <v>593382798468</v>
      </c>
      <c r="D176" s="331">
        <v>96582724916</v>
      </c>
      <c r="E176" s="331">
        <v>4658051351</v>
      </c>
      <c r="F176" s="331">
        <v>7971426</v>
      </c>
      <c r="G176" s="370">
        <f t="shared" si="6"/>
        <v>1.343386768302129E-5</v>
      </c>
      <c r="H176" s="370">
        <f t="shared" si="7"/>
        <v>8.2534697658747091E-5</v>
      </c>
      <c r="I176" s="331">
        <v>91093</v>
      </c>
      <c r="J176" s="331">
        <v>9454435</v>
      </c>
      <c r="K176" s="331">
        <f t="shared" si="8"/>
        <v>-9363342</v>
      </c>
      <c r="L176" s="199">
        <v>4.8</v>
      </c>
      <c r="M176" s="199">
        <v>1.54</v>
      </c>
    </row>
    <row r="177" spans="1:13" ht="15" customHeight="1" x14ac:dyDescent="0.25">
      <c r="A177" s="49">
        <v>2011</v>
      </c>
      <c r="B177" s="330" t="s">
        <v>6</v>
      </c>
      <c r="C177" s="331">
        <v>625320805757</v>
      </c>
      <c r="D177" s="331">
        <v>102007715205</v>
      </c>
      <c r="E177" s="331">
        <v>5415526529</v>
      </c>
      <c r="F177" s="331">
        <v>6429091</v>
      </c>
      <c r="G177" s="370">
        <f t="shared" si="6"/>
        <v>1.0281268335885738E-5</v>
      </c>
      <c r="H177" s="370">
        <f t="shared" si="7"/>
        <v>6.3025536716313714E-5</v>
      </c>
      <c r="I177" s="331">
        <v>92379</v>
      </c>
      <c r="J177" s="331">
        <v>9803253</v>
      </c>
      <c r="K177" s="331">
        <f t="shared" si="8"/>
        <v>-9710874</v>
      </c>
      <c r="L177" s="199">
        <v>5.3</v>
      </c>
      <c r="M177" s="199">
        <v>1.54</v>
      </c>
    </row>
    <row r="178" spans="1:13" ht="15" customHeight="1" x14ac:dyDescent="0.25">
      <c r="A178" s="49">
        <v>2012</v>
      </c>
      <c r="B178" s="330" t="s">
        <v>6</v>
      </c>
      <c r="C178" s="331">
        <v>671329075779</v>
      </c>
      <c r="D178" s="331">
        <v>105561193709</v>
      </c>
      <c r="E178" s="331">
        <v>5578118186</v>
      </c>
      <c r="F178" s="331">
        <v>5981644</v>
      </c>
      <c r="G178" s="370">
        <f t="shared" si="6"/>
        <v>8.9101518403012587E-6</v>
      </c>
      <c r="H178" s="370">
        <f t="shared" si="7"/>
        <v>5.6665179597055022E-5</v>
      </c>
      <c r="I178" s="331">
        <v>54679</v>
      </c>
      <c r="J178" s="331">
        <v>10254759</v>
      </c>
      <c r="K178" s="331">
        <f t="shared" si="8"/>
        <v>-10200080</v>
      </c>
      <c r="L178" s="199">
        <v>5.28</v>
      </c>
      <c r="M178" s="199">
        <v>1.54</v>
      </c>
    </row>
    <row r="179" spans="1:13" ht="15" customHeight="1" x14ac:dyDescent="0.25">
      <c r="A179" s="49">
        <v>2013</v>
      </c>
      <c r="B179" s="330" t="s">
        <v>6</v>
      </c>
      <c r="C179" s="331">
        <v>697538286811</v>
      </c>
      <c r="D179" s="331">
        <v>109207874363</v>
      </c>
      <c r="E179" s="331">
        <v>5618078033</v>
      </c>
      <c r="F179" s="331">
        <v>5725096</v>
      </c>
      <c r="G179" s="370">
        <f t="shared" si="6"/>
        <v>8.2075724132275924E-6</v>
      </c>
      <c r="H179" s="370">
        <f t="shared" si="7"/>
        <v>5.2423838788127554E-5</v>
      </c>
      <c r="I179" s="331">
        <v>31927</v>
      </c>
      <c r="J179" s="331">
        <v>9748437</v>
      </c>
      <c r="K179" s="331">
        <f t="shared" si="8"/>
        <v>-9716510</v>
      </c>
      <c r="L179" s="199">
        <v>5.14</v>
      </c>
      <c r="M179" s="199">
        <v>1.54</v>
      </c>
    </row>
    <row r="180" spans="1:13" ht="15" customHeight="1" x14ac:dyDescent="0.25">
      <c r="A180" s="49">
        <v>2014</v>
      </c>
      <c r="B180" s="330" t="s">
        <v>6</v>
      </c>
      <c r="C180" s="331">
        <v>743205395989</v>
      </c>
      <c r="D180" s="331">
        <v>114659450561</v>
      </c>
      <c r="E180" s="331">
        <v>5757801058</v>
      </c>
      <c r="F180" s="331">
        <v>5595465</v>
      </c>
      <c r="G180" s="370">
        <f t="shared" si="6"/>
        <v>7.5288271993154595E-6</v>
      </c>
      <c r="H180" s="370">
        <f t="shared" si="7"/>
        <v>4.8800730970040323E-5</v>
      </c>
      <c r="I180" s="331">
        <v>5949</v>
      </c>
      <c r="J180" s="331">
        <v>8602224</v>
      </c>
      <c r="K180" s="331">
        <f t="shared" si="8"/>
        <v>-8596275</v>
      </c>
      <c r="L180" s="333">
        <v>5.0216541504677723</v>
      </c>
      <c r="M180" s="199">
        <v>1.54</v>
      </c>
    </row>
    <row r="181" spans="1:13" ht="15" customHeight="1" x14ac:dyDescent="0.25">
      <c r="A181" s="49">
        <v>2015</v>
      </c>
      <c r="B181" s="330" t="s">
        <v>6</v>
      </c>
      <c r="C181" s="334">
        <v>804247784000</v>
      </c>
      <c r="D181" s="334">
        <v>120058007000</v>
      </c>
      <c r="E181" s="334">
        <v>5873129000</v>
      </c>
      <c r="F181" s="331">
        <v>5002422</v>
      </c>
      <c r="G181" s="370">
        <f t="shared" si="6"/>
        <v>6.2200009742271167E-6</v>
      </c>
      <c r="H181" s="370">
        <f t="shared" si="7"/>
        <v>4.1666708660256206E-5</v>
      </c>
      <c r="I181" s="331">
        <v>11631</v>
      </c>
      <c r="J181" s="331">
        <v>6409126</v>
      </c>
      <c r="K181" s="331">
        <f t="shared" si="8"/>
        <v>-6397495</v>
      </c>
      <c r="L181" s="199">
        <v>4.9000000000000004</v>
      </c>
      <c r="M181" s="199">
        <v>1.5</v>
      </c>
    </row>
    <row r="182" spans="1:13" ht="15" customHeight="1" x14ac:dyDescent="0.25">
      <c r="A182" s="49">
        <v>1980</v>
      </c>
      <c r="B182" s="330" t="s">
        <v>7</v>
      </c>
      <c r="C182" s="331">
        <v>14219765574</v>
      </c>
      <c r="D182" s="331">
        <v>6333640539</v>
      </c>
      <c r="E182" s="331">
        <v>62773311</v>
      </c>
      <c r="F182" s="331">
        <v>86543</v>
      </c>
      <c r="G182" s="370">
        <f t="shared" si="6"/>
        <v>6.0861059593161476E-6</v>
      </c>
      <c r="H182" s="370">
        <f t="shared" si="7"/>
        <v>1.3664021421345775E-5</v>
      </c>
      <c r="I182" s="331">
        <v>129512</v>
      </c>
      <c r="J182" s="331">
        <v>0</v>
      </c>
      <c r="K182" s="331">
        <f t="shared" si="8"/>
        <v>129512</v>
      </c>
      <c r="L182" s="199">
        <v>0.99</v>
      </c>
      <c r="M182" s="199">
        <v>1.0900000000000001</v>
      </c>
    </row>
    <row r="183" spans="1:13" ht="15" customHeight="1" x14ac:dyDescent="0.25">
      <c r="A183" s="49">
        <v>1981</v>
      </c>
      <c r="B183" s="330" t="s">
        <v>7</v>
      </c>
      <c r="C183" s="331">
        <v>16629837997</v>
      </c>
      <c r="D183" s="331">
        <v>6924622837</v>
      </c>
      <c r="E183" s="331">
        <v>57454972</v>
      </c>
      <c r="F183" s="331">
        <v>106705</v>
      </c>
      <c r="G183" s="370">
        <f t="shared" si="6"/>
        <v>6.416478622296227E-6</v>
      </c>
      <c r="H183" s="370">
        <f t="shared" si="7"/>
        <v>1.5409503522682619E-5</v>
      </c>
      <c r="I183" s="331">
        <v>94318</v>
      </c>
      <c r="J183" s="331">
        <v>0</v>
      </c>
      <c r="K183" s="331">
        <f t="shared" si="8"/>
        <v>94318</v>
      </c>
      <c r="L183" s="199">
        <v>0.83</v>
      </c>
      <c r="M183" s="199">
        <v>1.0900000000000001</v>
      </c>
    </row>
    <row r="184" spans="1:13" ht="15" customHeight="1" x14ac:dyDescent="0.25">
      <c r="A184" s="49">
        <v>1982</v>
      </c>
      <c r="B184" s="330" t="s">
        <v>7</v>
      </c>
      <c r="C184" s="331">
        <v>18287816047</v>
      </c>
      <c r="D184" s="331">
        <v>7106954657</v>
      </c>
      <c r="E184" s="331">
        <v>84963866</v>
      </c>
      <c r="F184" s="331">
        <v>193527</v>
      </c>
      <c r="G184" s="370">
        <f t="shared" si="6"/>
        <v>1.0582291483172857E-5</v>
      </c>
      <c r="H184" s="370">
        <f t="shared" si="7"/>
        <v>2.7230650727366812E-5</v>
      </c>
      <c r="I184" s="331">
        <v>556</v>
      </c>
      <c r="J184" s="331">
        <v>4409</v>
      </c>
      <c r="K184" s="331">
        <f t="shared" si="8"/>
        <v>-3853</v>
      </c>
      <c r="L184" s="199">
        <v>1.2</v>
      </c>
      <c r="M184" s="199">
        <v>1.08</v>
      </c>
    </row>
    <row r="185" spans="1:13" ht="15" customHeight="1" x14ac:dyDescent="0.25">
      <c r="A185" s="49">
        <v>1983</v>
      </c>
      <c r="B185" s="330" t="s">
        <v>7</v>
      </c>
      <c r="C185" s="331">
        <v>19008462231</v>
      </c>
      <c r="D185" s="331">
        <v>8028624524</v>
      </c>
      <c r="E185" s="331">
        <v>125862036</v>
      </c>
      <c r="F185" s="331">
        <v>236902</v>
      </c>
      <c r="G185" s="370">
        <f t="shared" si="6"/>
        <v>1.2462975548524265E-5</v>
      </c>
      <c r="H185" s="370">
        <f t="shared" si="7"/>
        <v>2.9507171407982511E-5</v>
      </c>
      <c r="I185" s="331">
        <v>0</v>
      </c>
      <c r="J185" s="331">
        <v>112884</v>
      </c>
      <c r="K185" s="331">
        <f t="shared" si="8"/>
        <v>-112884</v>
      </c>
      <c r="L185" s="199">
        <v>1.57</v>
      </c>
      <c r="M185" s="199">
        <v>1.1499999999999999</v>
      </c>
    </row>
    <row r="186" spans="1:13" ht="15" customHeight="1" x14ac:dyDescent="0.25">
      <c r="A186" s="49">
        <v>1984</v>
      </c>
      <c r="B186" s="330" t="s">
        <v>7</v>
      </c>
      <c r="C186" s="331">
        <v>20847978527</v>
      </c>
      <c r="D186" s="331">
        <v>9264067551</v>
      </c>
      <c r="E186" s="331">
        <v>264903156</v>
      </c>
      <c r="F186" s="331">
        <v>149546</v>
      </c>
      <c r="G186" s="370">
        <f t="shared" si="6"/>
        <v>7.1731654849089823E-6</v>
      </c>
      <c r="H186" s="370">
        <f t="shared" si="7"/>
        <v>1.6142585228003589E-5</v>
      </c>
      <c r="I186" s="331">
        <v>28035</v>
      </c>
      <c r="J186" s="331">
        <v>41566</v>
      </c>
      <c r="K186" s="331">
        <f t="shared" si="8"/>
        <v>-13531</v>
      </c>
      <c r="L186" s="199">
        <v>2.86</v>
      </c>
      <c r="M186" s="199">
        <v>1.1499999999999999</v>
      </c>
    </row>
    <row r="187" spans="1:13" ht="15" customHeight="1" x14ac:dyDescent="0.25">
      <c r="A187" s="49">
        <v>1985</v>
      </c>
      <c r="B187" s="330" t="s">
        <v>7</v>
      </c>
      <c r="C187" s="331">
        <v>21913205265</v>
      </c>
      <c r="D187" s="331">
        <v>9444740472</v>
      </c>
      <c r="E187" s="331">
        <v>257129910</v>
      </c>
      <c r="F187" s="331">
        <v>170976</v>
      </c>
      <c r="G187" s="370">
        <f t="shared" si="6"/>
        <v>7.8024185842444814E-6</v>
      </c>
      <c r="H187" s="370">
        <f t="shared" si="7"/>
        <v>1.8102773761426019E-5</v>
      </c>
      <c r="I187" s="331">
        <v>84470</v>
      </c>
      <c r="J187" s="331">
        <v>0</v>
      </c>
      <c r="K187" s="331">
        <f t="shared" si="8"/>
        <v>84470</v>
      </c>
      <c r="L187" s="199">
        <v>2.72</v>
      </c>
      <c r="M187" s="199">
        <v>1.1499999999999999</v>
      </c>
    </row>
    <row r="188" spans="1:13" ht="15" customHeight="1" x14ac:dyDescent="0.25">
      <c r="A188" s="49">
        <v>1986</v>
      </c>
      <c r="B188" s="330" t="s">
        <v>7</v>
      </c>
      <c r="C188" s="331">
        <v>22414063036</v>
      </c>
      <c r="D188" s="331">
        <v>9292449548</v>
      </c>
      <c r="E188" s="331">
        <v>192955716</v>
      </c>
      <c r="F188" s="331">
        <v>219690</v>
      </c>
      <c r="G188" s="370">
        <f t="shared" si="6"/>
        <v>9.8014358060449956E-6</v>
      </c>
      <c r="H188" s="370">
        <f t="shared" si="7"/>
        <v>2.3641774847976823E-5</v>
      </c>
      <c r="I188" s="331">
        <v>83120</v>
      </c>
      <c r="J188" s="331">
        <v>0</v>
      </c>
      <c r="K188" s="331">
        <f t="shared" si="8"/>
        <v>83120</v>
      </c>
      <c r="L188" s="199">
        <v>2.08</v>
      </c>
      <c r="M188" s="199">
        <v>1.1499999999999999</v>
      </c>
    </row>
    <row r="189" spans="1:13" ht="15" customHeight="1" x14ac:dyDescent="0.25">
      <c r="A189" s="49">
        <v>1987</v>
      </c>
      <c r="B189" s="330" t="s">
        <v>7</v>
      </c>
      <c r="C189" s="331">
        <v>22802184286</v>
      </c>
      <c r="D189" s="331">
        <v>9971217410</v>
      </c>
      <c r="E189" s="331">
        <v>209070811</v>
      </c>
      <c r="F189" s="331">
        <v>207271</v>
      </c>
      <c r="G189" s="370">
        <f t="shared" si="6"/>
        <v>9.0899624965867623E-6</v>
      </c>
      <c r="H189" s="370">
        <f t="shared" si="7"/>
        <v>2.0786930168840837E-5</v>
      </c>
      <c r="I189" s="331">
        <v>96052</v>
      </c>
      <c r="J189" s="331">
        <v>0</v>
      </c>
      <c r="K189" s="331">
        <f t="shared" si="8"/>
        <v>96052</v>
      </c>
      <c r="L189" s="199">
        <v>2.1</v>
      </c>
      <c r="M189" s="199">
        <v>1.1499999999999999</v>
      </c>
    </row>
    <row r="190" spans="1:13" ht="15" customHeight="1" x14ac:dyDescent="0.25">
      <c r="A190" s="49">
        <v>1988</v>
      </c>
      <c r="B190" s="330" t="s">
        <v>7</v>
      </c>
      <c r="C190" s="331">
        <v>23893249589</v>
      </c>
      <c r="D190" s="331">
        <v>10862317764</v>
      </c>
      <c r="E190" s="331">
        <v>222271274</v>
      </c>
      <c r="F190" s="331">
        <v>171379</v>
      </c>
      <c r="G190" s="370">
        <f t="shared" si="6"/>
        <v>7.1726953406496721E-6</v>
      </c>
      <c r="H190" s="370">
        <f t="shared" si="7"/>
        <v>1.5777387821224118E-5</v>
      </c>
      <c r="I190" s="331">
        <v>163164</v>
      </c>
      <c r="J190" s="331">
        <v>0</v>
      </c>
      <c r="K190" s="331">
        <f t="shared" si="8"/>
        <v>163164</v>
      </c>
      <c r="L190" s="199">
        <v>2.0499999999999998</v>
      </c>
      <c r="M190" s="199">
        <v>1.1499999999999999</v>
      </c>
    </row>
    <row r="191" spans="1:13" ht="15" customHeight="1" x14ac:dyDescent="0.25">
      <c r="A191" s="49">
        <v>1989</v>
      </c>
      <c r="B191" s="330" t="s">
        <v>7</v>
      </c>
      <c r="C191" s="331">
        <v>25230480841</v>
      </c>
      <c r="D191" s="331">
        <v>11293715421</v>
      </c>
      <c r="E191" s="331">
        <v>194321138</v>
      </c>
      <c r="F191" s="331">
        <v>145529</v>
      </c>
      <c r="G191" s="370">
        <f t="shared" si="6"/>
        <v>5.7679836114543117E-6</v>
      </c>
      <c r="H191" s="370">
        <f t="shared" si="7"/>
        <v>1.2885839121587691E-5</v>
      </c>
      <c r="I191" s="331">
        <v>239113</v>
      </c>
      <c r="J191" s="331">
        <v>0</v>
      </c>
      <c r="K191" s="331">
        <f t="shared" si="8"/>
        <v>239113</v>
      </c>
      <c r="L191" s="199">
        <v>1.72</v>
      </c>
      <c r="M191" s="199">
        <v>1.1499999999999999</v>
      </c>
    </row>
    <row r="192" spans="1:13" ht="15" customHeight="1" x14ac:dyDescent="0.25">
      <c r="A192" s="49">
        <v>1990</v>
      </c>
      <c r="B192" s="330" t="s">
        <v>7</v>
      </c>
      <c r="C192" s="331">
        <v>27039497492</v>
      </c>
      <c r="D192" s="331">
        <v>11725435148</v>
      </c>
      <c r="E192" s="331">
        <v>170664828</v>
      </c>
      <c r="F192" s="331">
        <v>106279</v>
      </c>
      <c r="G192" s="370">
        <f t="shared" si="6"/>
        <v>3.9305094346314707E-6</v>
      </c>
      <c r="H192" s="370">
        <f t="shared" si="7"/>
        <v>9.0639706465928422E-6</v>
      </c>
      <c r="I192" s="331">
        <v>300557</v>
      </c>
      <c r="J192" s="331">
        <v>0</v>
      </c>
      <c r="K192" s="331">
        <f t="shared" si="8"/>
        <v>300557</v>
      </c>
      <c r="L192" s="199">
        <v>1.46</v>
      </c>
      <c r="M192" s="199">
        <v>1.1499999999999999</v>
      </c>
    </row>
    <row r="193" spans="1:13" ht="15" customHeight="1" x14ac:dyDescent="0.25">
      <c r="A193" s="49">
        <v>1991</v>
      </c>
      <c r="B193" s="330" t="s">
        <v>7</v>
      </c>
      <c r="C193" s="331">
        <v>28600485402</v>
      </c>
      <c r="D193" s="331">
        <v>12037613657</v>
      </c>
      <c r="E193" s="331">
        <v>148368299</v>
      </c>
      <c r="F193" s="331">
        <v>173728</v>
      </c>
      <c r="G193" s="370">
        <f t="shared" si="6"/>
        <v>6.074302500748865E-6</v>
      </c>
      <c r="H193" s="370">
        <f t="shared" si="7"/>
        <v>1.4432096339873421E-5</v>
      </c>
      <c r="I193" s="331">
        <v>312036</v>
      </c>
      <c r="J193" s="331">
        <v>0</v>
      </c>
      <c r="K193" s="331">
        <f t="shared" si="8"/>
        <v>312036</v>
      </c>
      <c r="L193" s="199">
        <v>1.23</v>
      </c>
      <c r="M193" s="199">
        <v>1.1499999999999999</v>
      </c>
    </row>
    <row r="194" spans="1:13" ht="15" customHeight="1" x14ac:dyDescent="0.25">
      <c r="A194" s="49">
        <v>1992</v>
      </c>
      <c r="B194" s="330" t="s">
        <v>7</v>
      </c>
      <c r="C194" s="331">
        <v>30892648918</v>
      </c>
      <c r="D194" s="331">
        <v>12601985936</v>
      </c>
      <c r="E194" s="331">
        <v>170988414</v>
      </c>
      <c r="F194" s="331">
        <v>177994</v>
      </c>
      <c r="G194" s="370">
        <f t="shared" ref="G194:G257" si="9">F194/C194</f>
        <v>5.7616943264547798E-6</v>
      </c>
      <c r="H194" s="370">
        <f t="shared" ref="H194:H257" si="10">F194/D194</f>
        <v>1.4124281752412202E-5</v>
      </c>
      <c r="I194" s="331">
        <v>339246</v>
      </c>
      <c r="J194" s="331">
        <v>0</v>
      </c>
      <c r="K194" s="331">
        <f t="shared" ref="K194:K257" si="11">I194-J194</f>
        <v>339246</v>
      </c>
      <c r="L194" s="199">
        <v>1.36</v>
      </c>
      <c r="M194" s="199">
        <v>1.1499999999999999</v>
      </c>
    </row>
    <row r="195" spans="1:13" ht="15" customHeight="1" x14ac:dyDescent="0.25">
      <c r="A195" s="49">
        <v>1993</v>
      </c>
      <c r="B195" s="330" t="s">
        <v>7</v>
      </c>
      <c r="C195" s="331">
        <v>33853683532</v>
      </c>
      <c r="D195" s="331">
        <v>13997431661</v>
      </c>
      <c r="E195" s="331">
        <v>187515661</v>
      </c>
      <c r="F195" s="331">
        <v>167249</v>
      </c>
      <c r="G195" s="370">
        <f t="shared" si="9"/>
        <v>4.940348657832429E-6</v>
      </c>
      <c r="H195" s="370">
        <f t="shared" si="10"/>
        <v>1.1948549137481658E-5</v>
      </c>
      <c r="I195" s="331">
        <v>390435</v>
      </c>
      <c r="J195" s="331">
        <v>0</v>
      </c>
      <c r="K195" s="331">
        <f t="shared" si="11"/>
        <v>390435</v>
      </c>
      <c r="L195" s="199">
        <v>1.34</v>
      </c>
      <c r="M195" s="199">
        <v>1.1499999999999999</v>
      </c>
    </row>
    <row r="196" spans="1:13" ht="15" customHeight="1" x14ac:dyDescent="0.25">
      <c r="A196" s="49">
        <v>1994</v>
      </c>
      <c r="B196" s="330" t="s">
        <v>7</v>
      </c>
      <c r="C196" s="331">
        <v>35997308516</v>
      </c>
      <c r="D196" s="331">
        <v>14587592414</v>
      </c>
      <c r="E196" s="331">
        <v>192135253</v>
      </c>
      <c r="F196" s="331">
        <v>180370</v>
      </c>
      <c r="G196" s="370">
        <f t="shared" si="9"/>
        <v>5.0106523914094734E-6</v>
      </c>
      <c r="H196" s="370">
        <f t="shared" si="10"/>
        <v>1.2364617469493825E-5</v>
      </c>
      <c r="I196" s="331">
        <v>434482</v>
      </c>
      <c r="J196" s="331">
        <v>0</v>
      </c>
      <c r="K196" s="331">
        <f t="shared" si="11"/>
        <v>434482</v>
      </c>
      <c r="L196" s="199">
        <v>1.32</v>
      </c>
      <c r="M196" s="199">
        <v>1.1499999999999999</v>
      </c>
    </row>
    <row r="197" spans="1:13" ht="15" customHeight="1" x14ac:dyDescent="0.25">
      <c r="A197" s="49">
        <v>1995</v>
      </c>
      <c r="B197" s="330" t="s">
        <v>7</v>
      </c>
      <c r="C197" s="331">
        <v>39276105752</v>
      </c>
      <c r="D197" s="331">
        <v>15558292923</v>
      </c>
      <c r="E197" s="331">
        <v>184276036</v>
      </c>
      <c r="F197" s="331">
        <v>179307</v>
      </c>
      <c r="G197" s="370">
        <f t="shared" si="9"/>
        <v>4.5652947655297883E-6</v>
      </c>
      <c r="H197" s="370">
        <f t="shared" si="10"/>
        <v>1.1524850501749355E-5</v>
      </c>
      <c r="I197" s="331">
        <v>480582</v>
      </c>
      <c r="J197" s="331">
        <v>0</v>
      </c>
      <c r="K197" s="331">
        <f t="shared" si="11"/>
        <v>480582</v>
      </c>
      <c r="L197" s="199">
        <v>1.18</v>
      </c>
      <c r="M197" s="199">
        <v>1.1000000000000001</v>
      </c>
    </row>
    <row r="198" spans="1:13" ht="15" customHeight="1" x14ac:dyDescent="0.25">
      <c r="A198" s="49">
        <v>1996</v>
      </c>
      <c r="B198" s="330" t="s">
        <v>7</v>
      </c>
      <c r="C198" s="331">
        <v>43239739623</v>
      </c>
      <c r="D198" s="331">
        <v>16546819748</v>
      </c>
      <c r="E198" s="331">
        <v>172012207</v>
      </c>
      <c r="F198" s="331">
        <v>188959</v>
      </c>
      <c r="G198" s="370">
        <f t="shared" si="9"/>
        <v>4.3700309402300216E-6</v>
      </c>
      <c r="H198" s="370">
        <f t="shared" si="10"/>
        <v>1.1419656639629456E-5</v>
      </c>
      <c r="I198" s="331">
        <v>510956</v>
      </c>
      <c r="J198" s="331">
        <v>0</v>
      </c>
      <c r="K198" s="331">
        <f t="shared" si="11"/>
        <v>510956</v>
      </c>
      <c r="L198" s="199">
        <v>1.04</v>
      </c>
      <c r="M198" s="199">
        <v>1.1000000000000001</v>
      </c>
    </row>
    <row r="199" spans="1:13" ht="15" customHeight="1" x14ac:dyDescent="0.25">
      <c r="A199" s="49">
        <v>1997</v>
      </c>
      <c r="B199" s="330" t="s">
        <v>7</v>
      </c>
      <c r="C199" s="331">
        <v>47881315041</v>
      </c>
      <c r="D199" s="331">
        <v>17651232725</v>
      </c>
      <c r="E199" s="331">
        <v>183097374</v>
      </c>
      <c r="F199" s="331">
        <v>161522</v>
      </c>
      <c r="G199" s="370">
        <f t="shared" si="9"/>
        <v>3.3733827039146963E-6</v>
      </c>
      <c r="H199" s="370">
        <f t="shared" si="10"/>
        <v>9.1507489882693164E-6</v>
      </c>
      <c r="I199" s="331">
        <v>574413</v>
      </c>
      <c r="J199" s="331">
        <v>0</v>
      </c>
      <c r="K199" s="331">
        <f t="shared" si="11"/>
        <v>574413</v>
      </c>
      <c r="L199" s="199">
        <v>1.04</v>
      </c>
      <c r="M199" s="199">
        <v>1.1000000000000001</v>
      </c>
    </row>
    <row r="200" spans="1:13" ht="15" customHeight="1" x14ac:dyDescent="0.25">
      <c r="A200" s="49">
        <v>1998</v>
      </c>
      <c r="B200" s="330" t="s">
        <v>7</v>
      </c>
      <c r="C200" s="331">
        <v>54100541064</v>
      </c>
      <c r="D200" s="331">
        <v>18912774439</v>
      </c>
      <c r="E200" s="331">
        <v>178334349</v>
      </c>
      <c r="F200" s="331">
        <v>151645</v>
      </c>
      <c r="G200" s="370">
        <f t="shared" si="9"/>
        <v>2.8030218740438586E-6</v>
      </c>
      <c r="H200" s="370">
        <f t="shared" si="10"/>
        <v>8.0181255526049694E-6</v>
      </c>
      <c r="I200" s="331">
        <v>647913</v>
      </c>
      <c r="J200" s="331">
        <v>0</v>
      </c>
      <c r="K200" s="331">
        <f t="shared" si="11"/>
        <v>647913</v>
      </c>
      <c r="L200" s="199">
        <v>0.94</v>
      </c>
      <c r="M200" s="199">
        <v>1.1000000000000001</v>
      </c>
    </row>
    <row r="201" spans="1:13" ht="15" customHeight="1" x14ac:dyDescent="0.25">
      <c r="A201" s="49">
        <v>1999</v>
      </c>
      <c r="B201" s="330" t="s">
        <v>7</v>
      </c>
      <c r="C201" s="331">
        <v>60054203396</v>
      </c>
      <c r="D201" s="331">
        <v>20126329934</v>
      </c>
      <c r="E201" s="331">
        <v>192273284</v>
      </c>
      <c r="F201" s="331">
        <v>158560</v>
      </c>
      <c r="G201" s="370">
        <f t="shared" si="9"/>
        <v>2.6402814629718511E-6</v>
      </c>
      <c r="H201" s="370">
        <f t="shared" si="10"/>
        <v>7.8782371410964476E-6</v>
      </c>
      <c r="I201" s="331">
        <v>718856</v>
      </c>
      <c r="J201" s="331">
        <v>0</v>
      </c>
      <c r="K201" s="331">
        <f t="shared" si="11"/>
        <v>718856</v>
      </c>
      <c r="L201" s="199">
        <v>0.96</v>
      </c>
      <c r="M201" s="199">
        <v>1.1000000000000001</v>
      </c>
    </row>
    <row r="202" spans="1:13" ht="15" customHeight="1" x14ac:dyDescent="0.25">
      <c r="A202" s="49">
        <v>2000</v>
      </c>
      <c r="B202" s="330" t="s">
        <v>7</v>
      </c>
      <c r="C202" s="331">
        <v>68503689797</v>
      </c>
      <c r="D202" s="331">
        <v>21435047770</v>
      </c>
      <c r="E202" s="331">
        <v>185367380</v>
      </c>
      <c r="F202" s="331">
        <v>157662</v>
      </c>
      <c r="G202" s="370">
        <f t="shared" si="9"/>
        <v>2.3015110641077399E-6</v>
      </c>
      <c r="H202" s="370">
        <f t="shared" si="10"/>
        <v>7.3553370018918321E-6</v>
      </c>
      <c r="I202" s="331">
        <v>786693</v>
      </c>
      <c r="J202" s="331">
        <v>0</v>
      </c>
      <c r="K202" s="331">
        <f t="shared" si="11"/>
        <v>786693</v>
      </c>
      <c r="L202" s="199">
        <v>0.86</v>
      </c>
      <c r="M202" s="199">
        <v>1.1000000000000001</v>
      </c>
    </row>
    <row r="203" spans="1:13" ht="15" customHeight="1" x14ac:dyDescent="0.25">
      <c r="A203" s="49">
        <v>2001</v>
      </c>
      <c r="B203" s="330" t="s">
        <v>7</v>
      </c>
      <c r="C203" s="331">
        <v>69858760191</v>
      </c>
      <c r="D203" s="331">
        <v>21526710407</v>
      </c>
      <c r="E203" s="331">
        <v>183992695</v>
      </c>
      <c r="F203" s="331">
        <v>319931</v>
      </c>
      <c r="G203" s="370">
        <f t="shared" si="9"/>
        <v>4.5796833371402597E-6</v>
      </c>
      <c r="H203" s="370">
        <f t="shared" si="10"/>
        <v>1.4862047844336014E-5</v>
      </c>
      <c r="I203" s="331">
        <v>684517</v>
      </c>
      <c r="J203" s="331">
        <v>0</v>
      </c>
      <c r="K203" s="331">
        <f t="shared" si="11"/>
        <v>684517</v>
      </c>
      <c r="L203" s="199">
        <v>0.85</v>
      </c>
      <c r="M203" s="199">
        <v>1.1000000000000001</v>
      </c>
    </row>
    <row r="204" spans="1:13" ht="15" customHeight="1" x14ac:dyDescent="0.25">
      <c r="A204" s="49">
        <v>2002</v>
      </c>
      <c r="B204" s="330" t="s">
        <v>7</v>
      </c>
      <c r="C204" s="331">
        <v>67079743347</v>
      </c>
      <c r="D204" s="331">
        <v>20577781969</v>
      </c>
      <c r="E204" s="331">
        <v>175853135</v>
      </c>
      <c r="F204" s="331">
        <v>540952</v>
      </c>
      <c r="G204" s="370">
        <f t="shared" si="9"/>
        <v>8.0643123096295052E-6</v>
      </c>
      <c r="H204" s="370">
        <f t="shared" si="10"/>
        <v>2.6288158792572149E-5</v>
      </c>
      <c r="I204" s="331">
        <v>472388</v>
      </c>
      <c r="J204" s="331">
        <v>0</v>
      </c>
      <c r="K204" s="331">
        <f t="shared" si="11"/>
        <v>472388</v>
      </c>
      <c r="L204" s="199">
        <v>0.85</v>
      </c>
      <c r="M204" s="199">
        <v>1.1000000000000001</v>
      </c>
    </row>
    <row r="205" spans="1:13" ht="15" customHeight="1" x14ac:dyDescent="0.25">
      <c r="A205" s="49">
        <v>2003</v>
      </c>
      <c r="B205" s="330" t="s">
        <v>7</v>
      </c>
      <c r="C205" s="331">
        <v>67105399919</v>
      </c>
      <c r="D205" s="331">
        <v>20058221609</v>
      </c>
      <c r="E205" s="331">
        <v>207953466</v>
      </c>
      <c r="F205" s="331">
        <v>536068</v>
      </c>
      <c r="G205" s="370">
        <f t="shared" si="9"/>
        <v>7.9884480331994793E-6</v>
      </c>
      <c r="H205" s="370">
        <f t="shared" si="10"/>
        <v>2.6725599629404312E-5</v>
      </c>
      <c r="I205" s="331">
        <v>132078</v>
      </c>
      <c r="J205" s="331">
        <v>0</v>
      </c>
      <c r="K205" s="331">
        <f t="shared" si="11"/>
        <v>132078</v>
      </c>
      <c r="L205" s="199">
        <v>1.04</v>
      </c>
      <c r="M205" s="199">
        <v>1.1000000000000001</v>
      </c>
    </row>
    <row r="206" spans="1:13" ht="15" customHeight="1" x14ac:dyDescent="0.25">
      <c r="A206" s="49">
        <v>2004</v>
      </c>
      <c r="B206" s="330" t="s">
        <v>7</v>
      </c>
      <c r="C206" s="331">
        <v>70317299857</v>
      </c>
      <c r="D206" s="331">
        <v>20541065661</v>
      </c>
      <c r="E206" s="331">
        <v>385929453</v>
      </c>
      <c r="F206" s="331">
        <v>388820</v>
      </c>
      <c r="G206" s="370">
        <f t="shared" si="9"/>
        <v>5.5295069746807615E-6</v>
      </c>
      <c r="H206" s="370">
        <f t="shared" si="10"/>
        <v>1.892891081781738E-5</v>
      </c>
      <c r="I206" s="331">
        <v>87987</v>
      </c>
      <c r="J206" s="331">
        <v>0</v>
      </c>
      <c r="K206" s="331">
        <f t="shared" si="11"/>
        <v>87987</v>
      </c>
      <c r="L206" s="199">
        <v>1.88</v>
      </c>
      <c r="M206" s="199">
        <v>1.1000000000000001</v>
      </c>
    </row>
    <row r="207" spans="1:13" ht="15" customHeight="1" x14ac:dyDescent="0.25">
      <c r="A207" s="49">
        <v>2005</v>
      </c>
      <c r="B207" s="330" t="s">
        <v>7</v>
      </c>
      <c r="C207" s="331">
        <v>74465645438</v>
      </c>
      <c r="D207" s="331">
        <v>21334321565</v>
      </c>
      <c r="E207" s="331">
        <v>524476322</v>
      </c>
      <c r="F207" s="331">
        <v>310276</v>
      </c>
      <c r="G207" s="370">
        <f t="shared" si="9"/>
        <v>4.1666999349161003E-6</v>
      </c>
      <c r="H207" s="370">
        <f t="shared" si="10"/>
        <v>1.4543513795583872E-5</v>
      </c>
      <c r="I207" s="331">
        <v>289067</v>
      </c>
      <c r="J207" s="331">
        <v>0</v>
      </c>
      <c r="K207" s="331">
        <f t="shared" si="11"/>
        <v>289067</v>
      </c>
      <c r="L207" s="199">
        <v>2.46</v>
      </c>
      <c r="M207" s="199">
        <v>1.1000000000000001</v>
      </c>
    </row>
    <row r="208" spans="1:13" ht="15" customHeight="1" x14ac:dyDescent="0.25">
      <c r="A208" s="49">
        <v>2006</v>
      </c>
      <c r="B208" s="330" t="s">
        <v>7</v>
      </c>
      <c r="C208" s="331">
        <v>80177848055</v>
      </c>
      <c r="D208" s="331">
        <v>22139515517</v>
      </c>
      <c r="E208" s="331">
        <v>472334085</v>
      </c>
      <c r="F208" s="331">
        <v>288163</v>
      </c>
      <c r="G208" s="370">
        <f t="shared" si="9"/>
        <v>3.5940475703753908E-6</v>
      </c>
      <c r="H208" s="370">
        <f t="shared" si="10"/>
        <v>1.301577714194928E-5</v>
      </c>
      <c r="I208" s="331">
        <v>494601</v>
      </c>
      <c r="J208" s="331">
        <v>0</v>
      </c>
      <c r="K208" s="331">
        <f t="shared" si="11"/>
        <v>494601</v>
      </c>
      <c r="L208" s="199">
        <v>2.13</v>
      </c>
      <c r="M208" s="199">
        <v>1.1000000000000001</v>
      </c>
    </row>
    <row r="209" spans="1:13" ht="15" customHeight="1" x14ac:dyDescent="0.25">
      <c r="A209" s="49">
        <v>2007</v>
      </c>
      <c r="B209" s="330" t="s">
        <v>7</v>
      </c>
      <c r="C209" s="331">
        <v>85711240487</v>
      </c>
      <c r="D209" s="331">
        <v>22992320773</v>
      </c>
      <c r="E209" s="331">
        <v>406361552</v>
      </c>
      <c r="F209" s="331">
        <v>300545</v>
      </c>
      <c r="G209" s="370">
        <f t="shared" si="9"/>
        <v>3.5064829104367504E-6</v>
      </c>
      <c r="H209" s="370">
        <f t="shared" si="10"/>
        <v>1.307153823083973E-5</v>
      </c>
      <c r="I209" s="331">
        <v>630397</v>
      </c>
      <c r="J209" s="331">
        <v>0</v>
      </c>
      <c r="K209" s="331">
        <f t="shared" si="11"/>
        <v>630397</v>
      </c>
      <c r="L209" s="199">
        <v>1.77</v>
      </c>
      <c r="M209" s="199">
        <v>1.1000000000000001</v>
      </c>
    </row>
    <row r="210" spans="1:13" ht="15" customHeight="1" x14ac:dyDescent="0.25">
      <c r="A210" s="49">
        <v>2008</v>
      </c>
      <c r="B210" s="330" t="s">
        <v>7</v>
      </c>
      <c r="C210" s="331">
        <v>88023508310</v>
      </c>
      <c r="D210" s="331">
        <v>23045830383</v>
      </c>
      <c r="E210" s="331">
        <v>381311772</v>
      </c>
      <c r="F210" s="331">
        <v>416044</v>
      </c>
      <c r="G210" s="370">
        <f t="shared" si="9"/>
        <v>4.7265100879049474E-6</v>
      </c>
      <c r="H210" s="370">
        <f t="shared" si="10"/>
        <v>1.8052896905242315E-5</v>
      </c>
      <c r="I210" s="331">
        <v>627982</v>
      </c>
      <c r="J210" s="331">
        <v>0</v>
      </c>
      <c r="K210" s="331">
        <f t="shared" si="11"/>
        <v>627982</v>
      </c>
      <c r="L210" s="199">
        <v>1.7</v>
      </c>
      <c r="M210" s="199">
        <v>1.1000000000000001</v>
      </c>
    </row>
    <row r="211" spans="1:13" x14ac:dyDescent="0.25">
      <c r="A211" s="49">
        <v>2009</v>
      </c>
      <c r="B211" s="330" t="s">
        <v>7</v>
      </c>
      <c r="C211" s="331">
        <v>82637089798</v>
      </c>
      <c r="D211" s="331">
        <v>21221858143</v>
      </c>
      <c r="E211" s="331">
        <v>338370212</v>
      </c>
      <c r="F211" s="331">
        <v>1062137</v>
      </c>
      <c r="G211" s="370">
        <f t="shared" si="9"/>
        <v>1.2853030069141013E-5</v>
      </c>
      <c r="H211" s="370">
        <f t="shared" si="10"/>
        <v>5.0049198936443953E-5</v>
      </c>
      <c r="I211" s="331">
        <v>64579</v>
      </c>
      <c r="J211" s="331">
        <v>0</v>
      </c>
      <c r="K211" s="331">
        <f t="shared" si="11"/>
        <v>64579</v>
      </c>
      <c r="L211" s="199">
        <v>1.6</v>
      </c>
      <c r="M211" s="199">
        <v>0.97</v>
      </c>
    </row>
    <row r="212" spans="1:13" ht="15" customHeight="1" x14ac:dyDescent="0.25">
      <c r="A212" s="49">
        <v>2010</v>
      </c>
      <c r="B212" s="330" t="s">
        <v>7</v>
      </c>
      <c r="C212" s="331">
        <v>83236524733</v>
      </c>
      <c r="D212" s="331">
        <v>20999871808</v>
      </c>
      <c r="E212" s="331">
        <v>441091793</v>
      </c>
      <c r="F212" s="331">
        <v>917904</v>
      </c>
      <c r="G212" s="370">
        <f t="shared" si="9"/>
        <v>1.1027658866637992E-5</v>
      </c>
      <c r="H212" s="370">
        <f t="shared" si="10"/>
        <v>4.3709981108090391E-5</v>
      </c>
      <c r="I212" s="331">
        <v>10405</v>
      </c>
      <c r="J212" s="331">
        <v>423087</v>
      </c>
      <c r="K212" s="331">
        <f t="shared" si="11"/>
        <v>-412682</v>
      </c>
      <c r="L212" s="199">
        <v>2.1</v>
      </c>
      <c r="M212" s="199">
        <v>1.07</v>
      </c>
    </row>
    <row r="213" spans="1:13" ht="15" customHeight="1" x14ac:dyDescent="0.25">
      <c r="A213" s="49">
        <v>2011</v>
      </c>
      <c r="B213" s="330" t="s">
        <v>7</v>
      </c>
      <c r="C213" s="331">
        <v>87317345924</v>
      </c>
      <c r="D213" s="331">
        <v>21575890686</v>
      </c>
      <c r="E213" s="331">
        <v>763048204</v>
      </c>
      <c r="F213" s="331">
        <v>673107</v>
      </c>
      <c r="G213" s="370">
        <f t="shared" si="9"/>
        <v>7.7087432385526745E-6</v>
      </c>
      <c r="H213" s="370">
        <f t="shared" si="10"/>
        <v>3.1197182530997925E-5</v>
      </c>
      <c r="I213" s="331">
        <v>10003</v>
      </c>
      <c r="J213" s="331">
        <v>340754</v>
      </c>
      <c r="K213" s="331">
        <f t="shared" si="11"/>
        <v>-330751</v>
      </c>
      <c r="L213" s="199">
        <v>3.5</v>
      </c>
      <c r="M213" s="199">
        <v>1.07</v>
      </c>
    </row>
    <row r="214" spans="1:13" ht="15" customHeight="1" x14ac:dyDescent="0.25">
      <c r="A214" s="49">
        <v>2012</v>
      </c>
      <c r="B214" s="330" t="s">
        <v>7</v>
      </c>
      <c r="C214" s="331">
        <v>92832672096</v>
      </c>
      <c r="D214" s="331">
        <v>23953235687</v>
      </c>
      <c r="E214" s="331">
        <v>799327743</v>
      </c>
      <c r="F214" s="331">
        <v>594384</v>
      </c>
      <c r="G214" s="370">
        <f t="shared" si="9"/>
        <v>6.4027457852913726E-6</v>
      </c>
      <c r="H214" s="370">
        <f t="shared" si="10"/>
        <v>2.4814351086712955E-5</v>
      </c>
      <c r="I214" s="331">
        <v>531563</v>
      </c>
      <c r="J214" s="331">
        <v>0</v>
      </c>
      <c r="K214" s="331">
        <f t="shared" si="11"/>
        <v>531563</v>
      </c>
      <c r="L214" s="199">
        <v>3.34</v>
      </c>
      <c r="M214" s="199">
        <v>1.07</v>
      </c>
    </row>
    <row r="215" spans="1:13" ht="15" customHeight="1" x14ac:dyDescent="0.25">
      <c r="A215" s="49">
        <v>2013</v>
      </c>
      <c r="B215" s="330" t="s">
        <v>7</v>
      </c>
      <c r="C215" s="331">
        <v>96385039079</v>
      </c>
      <c r="D215" s="331">
        <v>25529272945</v>
      </c>
      <c r="E215" s="331">
        <v>677200561</v>
      </c>
      <c r="F215" s="331">
        <v>547714</v>
      </c>
      <c r="G215" s="370">
        <f t="shared" si="9"/>
        <v>5.6825624104491734E-6</v>
      </c>
      <c r="H215" s="370">
        <f t="shared" si="10"/>
        <v>2.1454351684044796E-5</v>
      </c>
      <c r="I215" s="331">
        <v>544521</v>
      </c>
      <c r="J215" s="331">
        <v>0</v>
      </c>
      <c r="K215" s="331">
        <f t="shared" si="11"/>
        <v>544521</v>
      </c>
      <c r="L215" s="199">
        <v>2.65</v>
      </c>
      <c r="M215" s="199">
        <v>1.07</v>
      </c>
    </row>
    <row r="216" spans="1:13" ht="15" customHeight="1" x14ac:dyDescent="0.25">
      <c r="A216" s="49">
        <v>2014</v>
      </c>
      <c r="B216" s="330" t="s">
        <v>7</v>
      </c>
      <c r="C216" s="331">
        <v>104144110415</v>
      </c>
      <c r="D216" s="331">
        <v>27748837089</v>
      </c>
      <c r="E216" s="331">
        <v>711534157</v>
      </c>
      <c r="F216" s="331">
        <v>493143</v>
      </c>
      <c r="G216" s="370">
        <f t="shared" si="9"/>
        <v>4.7351981598853051E-6</v>
      </c>
      <c r="H216" s="370">
        <f t="shared" si="10"/>
        <v>1.77716636707449E-5</v>
      </c>
      <c r="I216" s="331">
        <v>643259</v>
      </c>
      <c r="J216" s="331">
        <v>0</v>
      </c>
      <c r="K216" s="331">
        <f t="shared" si="11"/>
        <v>643259</v>
      </c>
      <c r="L216" s="333">
        <v>2.5641945091892206</v>
      </c>
      <c r="M216" s="199">
        <v>1.07</v>
      </c>
    </row>
    <row r="217" spans="1:13" ht="15" customHeight="1" x14ac:dyDescent="0.25">
      <c r="A217" s="49">
        <v>2015</v>
      </c>
      <c r="B217" s="330" t="s">
        <v>7</v>
      </c>
      <c r="C217" s="334">
        <v>110421408000</v>
      </c>
      <c r="D217" s="334">
        <v>29196663000</v>
      </c>
      <c r="E217" s="334">
        <v>657010000</v>
      </c>
      <c r="F217" s="331">
        <v>498053</v>
      </c>
      <c r="G217" s="370">
        <f t="shared" si="9"/>
        <v>4.5104749977468138E-6</v>
      </c>
      <c r="H217" s="370">
        <f t="shared" si="10"/>
        <v>1.7058559055190655E-5</v>
      </c>
      <c r="I217" s="331">
        <v>681243</v>
      </c>
      <c r="J217" s="199">
        <v>0</v>
      </c>
      <c r="K217" s="331">
        <f t="shared" si="11"/>
        <v>681243</v>
      </c>
      <c r="L217" s="199">
        <v>2.2000000000000002</v>
      </c>
      <c r="M217" s="199">
        <v>1.06</v>
      </c>
    </row>
    <row r="218" spans="1:13" ht="15" customHeight="1" x14ac:dyDescent="0.25">
      <c r="A218" s="49">
        <v>1980</v>
      </c>
      <c r="B218" s="330" t="s">
        <v>8</v>
      </c>
      <c r="C218" s="331">
        <v>17710540001</v>
      </c>
      <c r="D218" s="331">
        <v>7018495255</v>
      </c>
      <c r="E218" s="331">
        <v>168505448</v>
      </c>
      <c r="F218" s="331">
        <v>163644</v>
      </c>
      <c r="G218" s="370">
        <f t="shared" si="9"/>
        <v>9.2399215377261274E-6</v>
      </c>
      <c r="H218" s="370">
        <f t="shared" si="10"/>
        <v>2.3316108945634671E-5</v>
      </c>
      <c r="I218" s="331">
        <v>108457</v>
      </c>
      <c r="J218" s="331">
        <v>370894</v>
      </c>
      <c r="K218" s="331">
        <f t="shared" si="11"/>
        <v>-262437</v>
      </c>
      <c r="L218" s="199">
        <v>2.4</v>
      </c>
      <c r="M218" s="199">
        <v>3</v>
      </c>
    </row>
    <row r="219" spans="1:13" ht="15" customHeight="1" x14ac:dyDescent="0.25">
      <c r="A219" s="49">
        <v>1981</v>
      </c>
      <c r="B219" s="330" t="s">
        <v>8</v>
      </c>
      <c r="C219" s="331">
        <v>19583908817</v>
      </c>
      <c r="D219" s="331">
        <v>7241097149</v>
      </c>
      <c r="E219" s="331">
        <v>162084369</v>
      </c>
      <c r="F219" s="331">
        <v>171773</v>
      </c>
      <c r="G219" s="370">
        <f t="shared" si="9"/>
        <v>8.7711294821231397E-6</v>
      </c>
      <c r="H219" s="370">
        <f t="shared" si="10"/>
        <v>2.3721957662689548E-5</v>
      </c>
      <c r="I219" s="331">
        <v>98579</v>
      </c>
      <c r="J219" s="331">
        <v>320946</v>
      </c>
      <c r="K219" s="331">
        <f t="shared" si="11"/>
        <v>-222367</v>
      </c>
      <c r="L219" s="199">
        <v>2.2400000000000002</v>
      </c>
      <c r="M219" s="199">
        <v>3</v>
      </c>
    </row>
    <row r="220" spans="1:13" ht="15" customHeight="1" x14ac:dyDescent="0.25">
      <c r="A220" s="49">
        <v>1982</v>
      </c>
      <c r="B220" s="330" t="s">
        <v>8</v>
      </c>
      <c r="C220" s="331">
        <v>20911146231</v>
      </c>
      <c r="D220" s="331">
        <v>8004351864</v>
      </c>
      <c r="E220" s="331">
        <v>178969402</v>
      </c>
      <c r="F220" s="331">
        <v>261193</v>
      </c>
      <c r="G220" s="370">
        <f t="shared" si="9"/>
        <v>1.2490611328268129E-5</v>
      </c>
      <c r="H220" s="370">
        <f t="shared" si="10"/>
        <v>3.2631374087229909E-5</v>
      </c>
      <c r="I220" s="331">
        <v>18046</v>
      </c>
      <c r="J220" s="331">
        <v>270461</v>
      </c>
      <c r="K220" s="331">
        <f t="shared" si="11"/>
        <v>-252415</v>
      </c>
      <c r="L220" s="199">
        <v>2.2400000000000002</v>
      </c>
      <c r="M220" s="199">
        <v>3</v>
      </c>
    </row>
    <row r="221" spans="1:13" ht="15" customHeight="1" x14ac:dyDescent="0.25">
      <c r="A221" s="49">
        <v>1983</v>
      </c>
      <c r="B221" s="330" t="s">
        <v>8</v>
      </c>
      <c r="C221" s="331">
        <v>22440475175</v>
      </c>
      <c r="D221" s="331">
        <v>8411973100</v>
      </c>
      <c r="E221" s="331">
        <v>194833543</v>
      </c>
      <c r="F221" s="331">
        <v>229994</v>
      </c>
      <c r="G221" s="370">
        <f t="shared" si="9"/>
        <v>1.0249069959812025E-5</v>
      </c>
      <c r="H221" s="370">
        <f t="shared" si="10"/>
        <v>2.7341266699961274E-5</v>
      </c>
      <c r="I221" s="331">
        <v>50917</v>
      </c>
      <c r="J221" s="331">
        <v>280276</v>
      </c>
      <c r="K221" s="331">
        <f t="shared" si="11"/>
        <v>-229359</v>
      </c>
      <c r="L221" s="199">
        <v>2.3199999999999998</v>
      </c>
      <c r="M221" s="199">
        <v>3</v>
      </c>
    </row>
    <row r="222" spans="1:13" ht="15" customHeight="1" x14ac:dyDescent="0.25">
      <c r="A222" s="49">
        <v>1984</v>
      </c>
      <c r="B222" s="330" t="s">
        <v>8</v>
      </c>
      <c r="C222" s="331">
        <v>25175590173</v>
      </c>
      <c r="D222" s="331">
        <v>9071932792</v>
      </c>
      <c r="E222" s="331">
        <v>235317714</v>
      </c>
      <c r="F222" s="331">
        <v>153127</v>
      </c>
      <c r="G222" s="370">
        <f t="shared" si="9"/>
        <v>6.0823598949518854E-6</v>
      </c>
      <c r="H222" s="370">
        <f t="shared" si="10"/>
        <v>1.6879203529267064E-5</v>
      </c>
      <c r="I222" s="331">
        <v>111536</v>
      </c>
      <c r="J222" s="331">
        <v>196400</v>
      </c>
      <c r="K222" s="331">
        <f t="shared" si="11"/>
        <v>-84864</v>
      </c>
      <c r="L222" s="199">
        <v>2.59</v>
      </c>
      <c r="M222" s="199">
        <v>3</v>
      </c>
    </row>
    <row r="223" spans="1:13" ht="15" customHeight="1" x14ac:dyDescent="0.25">
      <c r="A223" s="49">
        <v>1985</v>
      </c>
      <c r="B223" s="330" t="s">
        <v>8</v>
      </c>
      <c r="C223" s="331">
        <v>27474105645</v>
      </c>
      <c r="D223" s="331">
        <v>9425595930</v>
      </c>
      <c r="E223" s="331">
        <v>239114536</v>
      </c>
      <c r="F223" s="331">
        <v>176861</v>
      </c>
      <c r="G223" s="370">
        <f t="shared" si="9"/>
        <v>6.4373706021686954E-6</v>
      </c>
      <c r="H223" s="370">
        <f t="shared" si="10"/>
        <v>1.8763906421776771E-5</v>
      </c>
      <c r="I223" s="331">
        <v>153569</v>
      </c>
      <c r="J223" s="331">
        <v>102137</v>
      </c>
      <c r="K223" s="331">
        <f t="shared" si="11"/>
        <v>51432</v>
      </c>
      <c r="L223" s="199">
        <v>2.54</v>
      </c>
      <c r="M223" s="199">
        <v>3</v>
      </c>
    </row>
    <row r="224" spans="1:13" ht="15" customHeight="1" x14ac:dyDescent="0.25">
      <c r="A224" s="49">
        <v>1986</v>
      </c>
      <c r="B224" s="330" t="s">
        <v>8</v>
      </c>
      <c r="C224" s="331">
        <v>29962733228</v>
      </c>
      <c r="D224" s="331">
        <v>9698098656</v>
      </c>
      <c r="E224" s="331">
        <v>224839866</v>
      </c>
      <c r="F224" s="331">
        <v>174047</v>
      </c>
      <c r="G224" s="370">
        <f t="shared" si="9"/>
        <v>5.8087824857498013E-6</v>
      </c>
      <c r="H224" s="370">
        <f t="shared" si="10"/>
        <v>1.7946507472608661E-5</v>
      </c>
      <c r="I224" s="331">
        <v>192157</v>
      </c>
      <c r="J224" s="331">
        <v>0</v>
      </c>
      <c r="K224" s="331">
        <f t="shared" si="11"/>
        <v>192157</v>
      </c>
      <c r="L224" s="199">
        <v>2.3199999999999998</v>
      </c>
      <c r="M224" s="199">
        <v>3</v>
      </c>
    </row>
    <row r="225" spans="1:13" ht="15" customHeight="1" x14ac:dyDescent="0.25">
      <c r="A225" s="49">
        <v>1987</v>
      </c>
      <c r="B225" s="330" t="s">
        <v>8</v>
      </c>
      <c r="C225" s="331">
        <v>33124104847</v>
      </c>
      <c r="D225" s="331">
        <v>10476588072</v>
      </c>
      <c r="E225" s="331">
        <v>207423056</v>
      </c>
      <c r="F225" s="331">
        <v>156497</v>
      </c>
      <c r="G225" s="370">
        <f t="shared" si="9"/>
        <v>4.724565410080016E-6</v>
      </c>
      <c r="H225" s="370">
        <f t="shared" si="10"/>
        <v>1.4937783076367957E-5</v>
      </c>
      <c r="I225" s="331">
        <v>267525</v>
      </c>
      <c r="J225" s="331">
        <v>0</v>
      </c>
      <c r="K225" s="331">
        <f t="shared" si="11"/>
        <v>267525</v>
      </c>
      <c r="L225" s="199">
        <v>1.98</v>
      </c>
      <c r="M225" s="199">
        <v>3</v>
      </c>
    </row>
    <row r="226" spans="1:13" ht="15" customHeight="1" x14ac:dyDescent="0.25">
      <c r="A226" s="49">
        <v>1988</v>
      </c>
      <c r="B226" s="330" t="s">
        <v>8</v>
      </c>
      <c r="C226" s="331">
        <v>36259402845</v>
      </c>
      <c r="D226" s="331">
        <v>10756476935</v>
      </c>
      <c r="E226" s="331">
        <v>204539236</v>
      </c>
      <c r="F226" s="331">
        <v>178440</v>
      </c>
      <c r="G226" s="370">
        <f t="shared" si="9"/>
        <v>4.9212062527004918E-6</v>
      </c>
      <c r="H226" s="370">
        <f t="shared" si="10"/>
        <v>1.6589074757310395E-5</v>
      </c>
      <c r="I226" s="331">
        <v>321675</v>
      </c>
      <c r="J226" s="331">
        <v>0</v>
      </c>
      <c r="K226" s="331">
        <f t="shared" si="11"/>
        <v>321675</v>
      </c>
      <c r="L226" s="199">
        <v>1.9</v>
      </c>
      <c r="M226" s="199">
        <v>3</v>
      </c>
    </row>
    <row r="227" spans="1:13" ht="15" customHeight="1" x14ac:dyDescent="0.25">
      <c r="A227" s="49">
        <v>1989</v>
      </c>
      <c r="B227" s="330" t="s">
        <v>8</v>
      </c>
      <c r="C227" s="331">
        <v>37505845874</v>
      </c>
      <c r="D227" s="331">
        <v>10722704842</v>
      </c>
      <c r="E227" s="331">
        <v>185465620</v>
      </c>
      <c r="F227" s="331">
        <v>263764</v>
      </c>
      <c r="G227" s="370">
        <f t="shared" si="9"/>
        <v>7.0326103532262382E-6</v>
      </c>
      <c r="H227" s="370">
        <f t="shared" si="10"/>
        <v>2.4598644081562048E-5</v>
      </c>
      <c r="I227" s="331">
        <v>273699</v>
      </c>
      <c r="J227" s="331">
        <v>0</v>
      </c>
      <c r="K227" s="331">
        <f t="shared" si="11"/>
        <v>273699</v>
      </c>
      <c r="L227" s="199">
        <v>1.73</v>
      </c>
      <c r="M227" s="199">
        <v>3</v>
      </c>
    </row>
    <row r="228" spans="1:13" ht="15" customHeight="1" x14ac:dyDescent="0.25">
      <c r="A228" s="49">
        <v>1990</v>
      </c>
      <c r="B228" s="330" t="s">
        <v>8</v>
      </c>
      <c r="C228" s="331">
        <v>38258155444</v>
      </c>
      <c r="D228" s="331">
        <v>10224503914</v>
      </c>
      <c r="E228" s="331">
        <v>183843176</v>
      </c>
      <c r="F228" s="331">
        <v>428538</v>
      </c>
      <c r="G228" s="370">
        <f t="shared" si="9"/>
        <v>1.1201219583815752E-5</v>
      </c>
      <c r="H228" s="370">
        <f t="shared" si="10"/>
        <v>4.1912840329907867E-5</v>
      </c>
      <c r="I228" s="331">
        <v>38865</v>
      </c>
      <c r="J228" s="331">
        <v>0</v>
      </c>
      <c r="K228" s="331">
        <f t="shared" si="11"/>
        <v>38865</v>
      </c>
      <c r="L228" s="199">
        <v>1.8</v>
      </c>
      <c r="M228" s="199">
        <v>3</v>
      </c>
    </row>
    <row r="229" spans="1:13" ht="15" customHeight="1" x14ac:dyDescent="0.25">
      <c r="A229" s="49">
        <v>1991</v>
      </c>
      <c r="B229" s="330" t="s">
        <v>8</v>
      </c>
      <c r="C229" s="331">
        <v>37934351308</v>
      </c>
      <c r="D229" s="331">
        <v>9621440169</v>
      </c>
      <c r="E229" s="331">
        <v>199480613</v>
      </c>
      <c r="F229" s="331">
        <v>584158</v>
      </c>
      <c r="G229" s="370">
        <f t="shared" si="9"/>
        <v>1.5399182531343474E-5</v>
      </c>
      <c r="H229" s="370">
        <f t="shared" si="10"/>
        <v>6.0714195561090747E-5</v>
      </c>
      <c r="I229" s="331">
        <v>0</v>
      </c>
      <c r="J229" s="331">
        <v>353767</v>
      </c>
      <c r="K229" s="331">
        <f t="shared" si="11"/>
        <v>-353767</v>
      </c>
      <c r="L229" s="199">
        <v>2.0699999999999998</v>
      </c>
      <c r="M229" s="199">
        <v>2.66</v>
      </c>
    </row>
    <row r="230" spans="1:13" ht="15" customHeight="1" x14ac:dyDescent="0.25">
      <c r="A230" s="49">
        <v>1992</v>
      </c>
      <c r="B230" s="330" t="s">
        <v>8</v>
      </c>
      <c r="C230" s="331">
        <v>39322543510</v>
      </c>
      <c r="D230" s="331">
        <v>9478264230</v>
      </c>
      <c r="E230" s="331">
        <v>259728931</v>
      </c>
      <c r="F230" s="331">
        <v>551708</v>
      </c>
      <c r="G230" s="370">
        <f t="shared" si="9"/>
        <v>1.4030323340088536E-5</v>
      </c>
      <c r="H230" s="370">
        <f t="shared" si="10"/>
        <v>5.8207704133608015E-5</v>
      </c>
      <c r="I230" s="331">
        <v>0</v>
      </c>
      <c r="J230" s="331">
        <v>653215</v>
      </c>
      <c r="K230" s="331">
        <f t="shared" si="11"/>
        <v>-653215</v>
      </c>
      <c r="L230" s="199">
        <v>2.74</v>
      </c>
      <c r="M230" s="199">
        <v>2.5499999999999998</v>
      </c>
    </row>
    <row r="231" spans="1:13" ht="15" customHeight="1" x14ac:dyDescent="0.25">
      <c r="A231" s="49">
        <v>1993</v>
      </c>
      <c r="B231" s="330" t="s">
        <v>8</v>
      </c>
      <c r="C231" s="331">
        <v>39884127852</v>
      </c>
      <c r="D231" s="331">
        <v>9510321777</v>
      </c>
      <c r="E231" s="331">
        <v>320421835</v>
      </c>
      <c r="F231" s="331">
        <v>511623</v>
      </c>
      <c r="G231" s="370">
        <f t="shared" si="9"/>
        <v>1.2827734428555256E-5</v>
      </c>
      <c r="H231" s="370">
        <f t="shared" si="10"/>
        <v>5.3796602470099577E-5</v>
      </c>
      <c r="I231" s="331">
        <v>1062</v>
      </c>
      <c r="J231" s="331">
        <v>0</v>
      </c>
      <c r="K231" s="331">
        <f t="shared" si="11"/>
        <v>1062</v>
      </c>
      <c r="L231" s="199">
        <v>3.37</v>
      </c>
      <c r="M231" s="199">
        <v>2.5499999999999998</v>
      </c>
    </row>
    <row r="232" spans="1:13" ht="15" customHeight="1" x14ac:dyDescent="0.25">
      <c r="A232" s="49">
        <v>1994</v>
      </c>
      <c r="B232" s="330" t="s">
        <v>8</v>
      </c>
      <c r="C232" s="331">
        <v>40996182482</v>
      </c>
      <c r="D232" s="331">
        <v>11634081463</v>
      </c>
      <c r="E232" s="331">
        <v>494662315</v>
      </c>
      <c r="F232" s="331">
        <v>486387</v>
      </c>
      <c r="G232" s="370">
        <f t="shared" si="9"/>
        <v>1.1864202239161065E-5</v>
      </c>
      <c r="H232" s="370">
        <f t="shared" si="10"/>
        <v>4.1807082196120253E-5</v>
      </c>
      <c r="I232" s="331">
        <v>3311</v>
      </c>
      <c r="J232" s="331">
        <v>0</v>
      </c>
      <c r="K232" s="331">
        <f t="shared" si="11"/>
        <v>3311</v>
      </c>
      <c r="L232" s="199">
        <v>4.25</v>
      </c>
      <c r="M232" s="199">
        <v>2.5499999999999998</v>
      </c>
    </row>
    <row r="233" spans="1:13" ht="15" customHeight="1" x14ac:dyDescent="0.25">
      <c r="A233" s="49">
        <v>1995</v>
      </c>
      <c r="B233" s="330" t="s">
        <v>8</v>
      </c>
      <c r="C233" s="331">
        <v>43477136159</v>
      </c>
      <c r="D233" s="331">
        <v>12756157537</v>
      </c>
      <c r="E233" s="331">
        <v>548080244</v>
      </c>
      <c r="F233" s="331">
        <v>435310</v>
      </c>
      <c r="G233" s="370">
        <f t="shared" si="9"/>
        <v>1.0012389003913003E-5</v>
      </c>
      <c r="H233" s="370">
        <f t="shared" si="10"/>
        <v>3.4125480085782668E-5</v>
      </c>
      <c r="I233" s="331">
        <v>116692</v>
      </c>
      <c r="J233" s="331">
        <v>0</v>
      </c>
      <c r="K233" s="331">
        <f t="shared" si="11"/>
        <v>116692</v>
      </c>
      <c r="L233" s="199">
        <v>4.3</v>
      </c>
      <c r="M233" s="199">
        <v>1.96</v>
      </c>
    </row>
    <row r="234" spans="1:13" ht="15" customHeight="1" x14ac:dyDescent="0.25">
      <c r="A234" s="49">
        <v>1996</v>
      </c>
      <c r="B234" s="330" t="s">
        <v>8</v>
      </c>
      <c r="C234" s="331">
        <v>46203898629</v>
      </c>
      <c r="D234" s="331">
        <v>14094834647</v>
      </c>
      <c r="E234" s="331">
        <v>569875554</v>
      </c>
      <c r="F234" s="331">
        <v>417788</v>
      </c>
      <c r="G234" s="370">
        <f t="shared" si="9"/>
        <v>9.0422672630870641E-6</v>
      </c>
      <c r="H234" s="370">
        <f t="shared" si="10"/>
        <v>2.9641213285813442E-5</v>
      </c>
      <c r="I234" s="331">
        <v>277861</v>
      </c>
      <c r="J234" s="331">
        <v>0</v>
      </c>
      <c r="K234" s="331">
        <f t="shared" si="11"/>
        <v>277861</v>
      </c>
      <c r="L234" s="199">
        <v>4.04</v>
      </c>
      <c r="M234" s="199">
        <v>1.59</v>
      </c>
    </row>
    <row r="235" spans="1:13" ht="15" customHeight="1" x14ac:dyDescent="0.25">
      <c r="A235" s="49">
        <v>1997</v>
      </c>
      <c r="B235" s="330" t="s">
        <v>8</v>
      </c>
      <c r="C235" s="331">
        <v>50556016676</v>
      </c>
      <c r="D235" s="331">
        <v>15701069171</v>
      </c>
      <c r="E235" s="331">
        <v>599166920</v>
      </c>
      <c r="F235" s="331">
        <v>347810</v>
      </c>
      <c r="G235" s="370">
        <f t="shared" si="9"/>
        <v>6.8796954916171764E-6</v>
      </c>
      <c r="H235" s="370">
        <f t="shared" si="10"/>
        <v>2.2151994632467949E-5</v>
      </c>
      <c r="I235" s="331">
        <v>532692</v>
      </c>
      <c r="J235" s="331">
        <v>0</v>
      </c>
      <c r="K235" s="331">
        <f t="shared" si="11"/>
        <v>532692</v>
      </c>
      <c r="L235" s="199">
        <v>3.82</v>
      </c>
      <c r="M235" s="199">
        <v>1.41</v>
      </c>
    </row>
    <row r="236" spans="1:13" ht="15" customHeight="1" x14ac:dyDescent="0.25">
      <c r="A236" s="49">
        <v>1998</v>
      </c>
      <c r="B236" s="330" t="s">
        <v>8</v>
      </c>
      <c r="C236" s="331">
        <v>54430327788</v>
      </c>
      <c r="D236" s="331">
        <v>17210934097</v>
      </c>
      <c r="E236" s="331">
        <v>598707636</v>
      </c>
      <c r="F236" s="331">
        <v>325066</v>
      </c>
      <c r="G236" s="370">
        <f t="shared" si="9"/>
        <v>5.972148491666181E-6</v>
      </c>
      <c r="H236" s="370">
        <f t="shared" si="10"/>
        <v>1.8887179403973289E-5</v>
      </c>
      <c r="I236" s="331">
        <v>818138</v>
      </c>
      <c r="J236" s="331">
        <v>0</v>
      </c>
      <c r="K236" s="331">
        <f t="shared" si="11"/>
        <v>818138</v>
      </c>
      <c r="L236" s="199">
        <v>3.48</v>
      </c>
      <c r="M236" s="199">
        <v>1.41</v>
      </c>
    </row>
    <row r="237" spans="1:13" ht="15" customHeight="1" x14ac:dyDescent="0.25">
      <c r="A237" s="49">
        <v>1999</v>
      </c>
      <c r="B237" s="330" t="s">
        <v>8</v>
      </c>
      <c r="C237" s="331">
        <v>57903552869</v>
      </c>
      <c r="D237" s="331">
        <v>19584973995</v>
      </c>
      <c r="E237" s="331">
        <v>360452013</v>
      </c>
      <c r="F237" s="331">
        <v>355880</v>
      </c>
      <c r="G237" s="370">
        <f t="shared" si="9"/>
        <v>6.1460822759034628E-6</v>
      </c>
      <c r="H237" s="370">
        <f t="shared" si="10"/>
        <v>1.8171073399987937E-5</v>
      </c>
      <c r="I237" s="331">
        <v>849815</v>
      </c>
      <c r="J237" s="331">
        <v>0</v>
      </c>
      <c r="K237" s="331">
        <f t="shared" si="11"/>
        <v>849815</v>
      </c>
      <c r="L237" s="199">
        <v>1.84</v>
      </c>
      <c r="M237" s="199">
        <v>1.41</v>
      </c>
    </row>
    <row r="238" spans="1:13" ht="15" customHeight="1" x14ac:dyDescent="0.25">
      <c r="A238" s="49">
        <v>2000</v>
      </c>
      <c r="B238" s="330" t="s">
        <v>8</v>
      </c>
      <c r="C238" s="331">
        <v>62739840245</v>
      </c>
      <c r="D238" s="331">
        <v>20238145478</v>
      </c>
      <c r="E238" s="331">
        <v>308807232</v>
      </c>
      <c r="F238" s="331">
        <v>330231</v>
      </c>
      <c r="G238" s="370">
        <f t="shared" si="9"/>
        <v>5.2634976230484978E-6</v>
      </c>
      <c r="H238" s="370">
        <f t="shared" si="10"/>
        <v>1.6317255963940947E-5</v>
      </c>
      <c r="I238" s="331">
        <v>848635</v>
      </c>
      <c r="J238" s="331">
        <v>0</v>
      </c>
      <c r="K238" s="331">
        <f t="shared" si="11"/>
        <v>848635</v>
      </c>
      <c r="L238" s="199">
        <v>1.53</v>
      </c>
      <c r="M238" s="199">
        <v>1.41</v>
      </c>
    </row>
    <row r="239" spans="1:13" ht="15" customHeight="1" x14ac:dyDescent="0.25">
      <c r="A239" s="49">
        <v>2001</v>
      </c>
      <c r="B239" s="330" t="s">
        <v>8</v>
      </c>
      <c r="C239" s="331">
        <v>63367943183</v>
      </c>
      <c r="D239" s="331">
        <v>19886231994</v>
      </c>
      <c r="E239" s="331">
        <v>271049393</v>
      </c>
      <c r="F239" s="331">
        <v>489600</v>
      </c>
      <c r="G239" s="370">
        <f t="shared" si="9"/>
        <v>7.7263041122557249E-6</v>
      </c>
      <c r="H239" s="370">
        <f t="shared" si="10"/>
        <v>2.4620048692367678E-5</v>
      </c>
      <c r="I239" s="331">
        <v>629657</v>
      </c>
      <c r="J239" s="331">
        <v>0</v>
      </c>
      <c r="K239" s="331">
        <f t="shared" si="11"/>
        <v>629657</v>
      </c>
      <c r="L239" s="199">
        <v>1.36</v>
      </c>
      <c r="M239" s="199">
        <v>1.41</v>
      </c>
    </row>
    <row r="240" spans="1:13" ht="15" customHeight="1" x14ac:dyDescent="0.25">
      <c r="A240" s="49">
        <v>2002</v>
      </c>
      <c r="B240" s="330" t="s">
        <v>8</v>
      </c>
      <c r="C240" s="331">
        <v>61518259817</v>
      </c>
      <c r="D240" s="331">
        <v>19386826154</v>
      </c>
      <c r="E240" s="331">
        <v>490363286</v>
      </c>
      <c r="F240" s="331">
        <v>679637</v>
      </c>
      <c r="G240" s="370">
        <f t="shared" si="9"/>
        <v>1.1047727975754421E-5</v>
      </c>
      <c r="H240" s="370">
        <f t="shared" si="10"/>
        <v>3.5056640762199923E-5</v>
      </c>
      <c r="I240" s="331">
        <v>547985</v>
      </c>
      <c r="J240" s="331">
        <v>0</v>
      </c>
      <c r="K240" s="331">
        <f t="shared" si="11"/>
        <v>547985</v>
      </c>
      <c r="L240" s="199">
        <v>2.5299999999999998</v>
      </c>
      <c r="M240" s="199">
        <v>1.41</v>
      </c>
    </row>
    <row r="241" spans="1:13" ht="15" customHeight="1" x14ac:dyDescent="0.25">
      <c r="A241" s="49">
        <v>2003</v>
      </c>
      <c r="B241" s="330" t="s">
        <v>8</v>
      </c>
      <c r="C241" s="331">
        <v>62417996848</v>
      </c>
      <c r="D241" s="331">
        <v>19134281222</v>
      </c>
      <c r="E241" s="331">
        <v>540552905</v>
      </c>
      <c r="F241" s="331">
        <v>677484</v>
      </c>
      <c r="G241" s="370">
        <f t="shared" si="9"/>
        <v>1.0853984975676257E-5</v>
      </c>
      <c r="H241" s="370">
        <f t="shared" si="10"/>
        <v>3.5406817331661776E-5</v>
      </c>
      <c r="I241" s="331">
        <v>413214</v>
      </c>
      <c r="J241" s="331">
        <v>0</v>
      </c>
      <c r="K241" s="331">
        <f t="shared" si="11"/>
        <v>413214</v>
      </c>
      <c r="L241" s="199">
        <v>2.83</v>
      </c>
      <c r="M241" s="199">
        <v>1.41</v>
      </c>
    </row>
    <row r="242" spans="1:13" ht="15" customHeight="1" x14ac:dyDescent="0.25">
      <c r="A242" s="49">
        <v>2004</v>
      </c>
      <c r="B242" s="330" t="s">
        <v>8</v>
      </c>
      <c r="C242" s="331">
        <v>66248515003</v>
      </c>
      <c r="D242" s="331">
        <v>19427833024</v>
      </c>
      <c r="E242" s="331">
        <v>607825705</v>
      </c>
      <c r="F242" s="331">
        <v>549715</v>
      </c>
      <c r="G242" s="370">
        <f t="shared" si="9"/>
        <v>8.2977709006021755E-6</v>
      </c>
      <c r="H242" s="370">
        <f t="shared" si="10"/>
        <v>2.8295229803597473E-5</v>
      </c>
      <c r="I242" s="331">
        <v>474770</v>
      </c>
      <c r="J242" s="331">
        <v>0</v>
      </c>
      <c r="K242" s="331">
        <f t="shared" si="11"/>
        <v>474770</v>
      </c>
      <c r="L242" s="199">
        <v>3.13</v>
      </c>
      <c r="M242" s="199">
        <v>1.41</v>
      </c>
    </row>
    <row r="243" spans="1:13" ht="15" customHeight="1" x14ac:dyDescent="0.25">
      <c r="A243" s="49">
        <v>2005</v>
      </c>
      <c r="B243" s="330" t="s">
        <v>8</v>
      </c>
      <c r="C243" s="331">
        <v>69767901138</v>
      </c>
      <c r="D243" s="331">
        <v>19804931439</v>
      </c>
      <c r="E243" s="331">
        <v>594008688</v>
      </c>
      <c r="F243" s="331">
        <v>522611</v>
      </c>
      <c r="G243" s="370">
        <f t="shared" si="9"/>
        <v>7.4907083554983578E-6</v>
      </c>
      <c r="H243" s="370">
        <f t="shared" si="10"/>
        <v>2.6387922705497027E-5</v>
      </c>
      <c r="I243" s="331">
        <v>570909</v>
      </c>
      <c r="J243" s="331">
        <v>0</v>
      </c>
      <c r="K243" s="331">
        <f t="shared" si="11"/>
        <v>570909</v>
      </c>
      <c r="L243" s="199">
        <v>3</v>
      </c>
      <c r="M243" s="199">
        <v>1.41</v>
      </c>
    </row>
    <row r="244" spans="1:13" ht="15" customHeight="1" x14ac:dyDescent="0.25">
      <c r="A244" s="49">
        <v>2006</v>
      </c>
      <c r="B244" s="330" t="s">
        <v>8</v>
      </c>
      <c r="C244" s="331">
        <v>73540220887</v>
      </c>
      <c r="D244" s="331">
        <v>20192994408</v>
      </c>
      <c r="E244" s="331">
        <v>525800096</v>
      </c>
      <c r="F244" s="331">
        <v>525102</v>
      </c>
      <c r="G244" s="370">
        <f t="shared" si="9"/>
        <v>7.1403375413687996E-6</v>
      </c>
      <c r="H244" s="370">
        <f t="shared" si="10"/>
        <v>2.6004167058649145E-5</v>
      </c>
      <c r="I244" s="331">
        <v>593732</v>
      </c>
      <c r="J244" s="331">
        <v>0</v>
      </c>
      <c r="K244" s="331">
        <f t="shared" si="11"/>
        <v>593732</v>
      </c>
      <c r="L244" s="199">
        <v>2.6</v>
      </c>
      <c r="M244" s="199">
        <v>1.41</v>
      </c>
    </row>
    <row r="245" spans="1:13" ht="15" customHeight="1" x14ac:dyDescent="0.25">
      <c r="A245" s="49">
        <v>2007</v>
      </c>
      <c r="B245" s="330" t="s">
        <v>8</v>
      </c>
      <c r="C245" s="331">
        <v>78436986835</v>
      </c>
      <c r="D245" s="331">
        <v>20461875491</v>
      </c>
      <c r="E245" s="331">
        <v>524591128</v>
      </c>
      <c r="F245" s="331">
        <v>540285</v>
      </c>
      <c r="G245" s="370">
        <f t="shared" si="9"/>
        <v>6.8881406821063028E-6</v>
      </c>
      <c r="H245" s="370">
        <f t="shared" si="10"/>
        <v>2.640447109736545E-5</v>
      </c>
      <c r="I245" s="331">
        <v>598111</v>
      </c>
      <c r="J245" s="331">
        <v>0</v>
      </c>
      <c r="K245" s="331">
        <f t="shared" si="11"/>
        <v>598111</v>
      </c>
      <c r="L245" s="199">
        <v>2.56</v>
      </c>
      <c r="M245" s="199">
        <v>1.41</v>
      </c>
    </row>
    <row r="246" spans="1:13" x14ac:dyDescent="0.25">
      <c r="A246" s="49">
        <v>2008</v>
      </c>
      <c r="B246" s="330" t="s">
        <v>8</v>
      </c>
      <c r="C246" s="331">
        <v>77896836683</v>
      </c>
      <c r="D246" s="331">
        <v>20283990860</v>
      </c>
      <c r="E246" s="331">
        <v>534267865</v>
      </c>
      <c r="F246" s="331">
        <v>679609</v>
      </c>
      <c r="G246" s="370">
        <f t="shared" si="9"/>
        <v>8.7244749458268585E-6</v>
      </c>
      <c r="H246" s="370">
        <f t="shared" si="10"/>
        <v>3.3504698591645886E-5</v>
      </c>
      <c r="I246" s="331">
        <v>445329</v>
      </c>
      <c r="J246" s="331">
        <v>0</v>
      </c>
      <c r="K246" s="331">
        <f t="shared" si="11"/>
        <v>445329</v>
      </c>
      <c r="L246" s="199">
        <v>2.6</v>
      </c>
      <c r="M246" s="199">
        <v>1.41</v>
      </c>
    </row>
    <row r="247" spans="1:13" ht="15" customHeight="1" x14ac:dyDescent="0.25">
      <c r="A247" s="49">
        <v>2009</v>
      </c>
      <c r="B247" s="330" t="s">
        <v>8</v>
      </c>
      <c r="C247" s="331">
        <v>72142362007</v>
      </c>
      <c r="D247" s="331">
        <v>18946491654</v>
      </c>
      <c r="E247" s="331">
        <v>582226615</v>
      </c>
      <c r="F247" s="331">
        <v>1239644</v>
      </c>
      <c r="G247" s="370">
        <f t="shared" si="9"/>
        <v>1.7183302092045682E-5</v>
      </c>
      <c r="H247" s="370">
        <f t="shared" si="10"/>
        <v>6.5428683190446257E-5</v>
      </c>
      <c r="I247" s="331">
        <v>38738</v>
      </c>
      <c r="J247" s="331">
        <v>179616</v>
      </c>
      <c r="K247" s="331">
        <f t="shared" si="11"/>
        <v>-140878</v>
      </c>
      <c r="L247" s="199">
        <v>3.1</v>
      </c>
      <c r="M247" s="199">
        <v>1.55</v>
      </c>
    </row>
    <row r="248" spans="1:13" ht="15" customHeight="1" x14ac:dyDescent="0.25">
      <c r="A248" s="49">
        <v>2010</v>
      </c>
      <c r="B248" s="330" t="s">
        <v>8</v>
      </c>
      <c r="C248" s="331">
        <v>73728113312</v>
      </c>
      <c r="D248" s="331">
        <v>18739688504</v>
      </c>
      <c r="E248" s="331">
        <v>654857717</v>
      </c>
      <c r="F248" s="331">
        <v>943442</v>
      </c>
      <c r="G248" s="370">
        <f t="shared" si="9"/>
        <v>1.2796231418639127E-5</v>
      </c>
      <c r="H248" s="370">
        <f t="shared" si="10"/>
        <v>5.0344593497305017E-5</v>
      </c>
      <c r="I248" s="331">
        <v>39709</v>
      </c>
      <c r="J248" s="331">
        <v>522712</v>
      </c>
      <c r="K248" s="331">
        <f t="shared" si="11"/>
        <v>-483003</v>
      </c>
      <c r="L248" s="199">
        <v>3.5</v>
      </c>
      <c r="M248" s="199">
        <v>1.55</v>
      </c>
    </row>
    <row r="249" spans="1:13" ht="15" customHeight="1" x14ac:dyDescent="0.25">
      <c r="A249" s="49">
        <v>2011</v>
      </c>
      <c r="B249" s="330" t="s">
        <v>8</v>
      </c>
      <c r="C249" s="331">
        <v>76807940527</v>
      </c>
      <c r="D249" s="331">
        <v>19060826556</v>
      </c>
      <c r="E249" s="331">
        <v>759964529</v>
      </c>
      <c r="F249" s="331">
        <v>792809</v>
      </c>
      <c r="G249" s="370">
        <f t="shared" si="9"/>
        <v>1.0321966642515391E-5</v>
      </c>
      <c r="H249" s="370">
        <f t="shared" si="10"/>
        <v>4.1593631717426138E-5</v>
      </c>
      <c r="I249" s="331">
        <v>127860</v>
      </c>
      <c r="J249" s="331">
        <v>709876</v>
      </c>
      <c r="K249" s="331">
        <f t="shared" si="11"/>
        <v>-582016</v>
      </c>
      <c r="L249" s="199">
        <v>4</v>
      </c>
      <c r="M249" s="199">
        <v>1.55</v>
      </c>
    </row>
    <row r="250" spans="1:13" ht="15" customHeight="1" x14ac:dyDescent="0.25">
      <c r="A250" s="49">
        <v>2012</v>
      </c>
      <c r="B250" s="330" t="s">
        <v>8</v>
      </c>
      <c r="C250" s="331">
        <v>79142498403</v>
      </c>
      <c r="D250" s="331">
        <v>19287939021</v>
      </c>
      <c r="E250" s="331">
        <v>812818939</v>
      </c>
      <c r="F250" s="331">
        <v>785381</v>
      </c>
      <c r="G250" s="370">
        <f t="shared" si="9"/>
        <v>9.9236316245764242E-6</v>
      </c>
      <c r="H250" s="370">
        <f t="shared" si="10"/>
        <v>4.0718762079499839E-5</v>
      </c>
      <c r="I250" s="331">
        <v>108981</v>
      </c>
      <c r="J250" s="331">
        <v>631484</v>
      </c>
      <c r="K250" s="331">
        <f t="shared" si="11"/>
        <v>-522503</v>
      </c>
      <c r="L250" s="199">
        <v>4.21</v>
      </c>
      <c r="M250" s="199">
        <v>1.55</v>
      </c>
    </row>
    <row r="251" spans="1:13" ht="15" customHeight="1" x14ac:dyDescent="0.25">
      <c r="A251" s="49">
        <v>2013</v>
      </c>
      <c r="B251" s="330" t="s">
        <v>8</v>
      </c>
      <c r="C251" s="331">
        <v>79664886901</v>
      </c>
      <c r="D251" s="331">
        <v>19540503742</v>
      </c>
      <c r="E251" s="331">
        <v>811121602</v>
      </c>
      <c r="F251" s="331">
        <v>731226</v>
      </c>
      <c r="G251" s="370">
        <f t="shared" si="9"/>
        <v>9.1787740928911199E-6</v>
      </c>
      <c r="H251" s="370">
        <f t="shared" si="10"/>
        <v>3.7421041425268699E-5</v>
      </c>
      <c r="I251" s="331">
        <v>141126</v>
      </c>
      <c r="J251" s="331">
        <v>573667</v>
      </c>
      <c r="K251" s="331">
        <f t="shared" si="11"/>
        <v>-432541</v>
      </c>
      <c r="L251" s="199">
        <v>4.1500000000000004</v>
      </c>
      <c r="M251" s="199">
        <v>1.55</v>
      </c>
    </row>
    <row r="252" spans="1:13" ht="15" customHeight="1" x14ac:dyDescent="0.25">
      <c r="A252" s="49">
        <v>2014</v>
      </c>
      <c r="B252" s="330" t="s">
        <v>8</v>
      </c>
      <c r="C252" s="331">
        <v>81992496055</v>
      </c>
      <c r="D252" s="331">
        <v>19863519156</v>
      </c>
      <c r="E252" s="331">
        <v>779692378</v>
      </c>
      <c r="F252" s="331">
        <v>684155</v>
      </c>
      <c r="G252" s="370">
        <f t="shared" si="9"/>
        <v>8.3441172414250391E-6</v>
      </c>
      <c r="H252" s="370">
        <f t="shared" si="10"/>
        <v>3.4442789045935157E-5</v>
      </c>
      <c r="I252" s="331">
        <v>158176</v>
      </c>
      <c r="J252" s="331">
        <v>432260</v>
      </c>
      <c r="K252" s="331">
        <f t="shared" si="11"/>
        <v>-274084</v>
      </c>
      <c r="L252" s="333">
        <v>3.9252479476401598</v>
      </c>
      <c r="M252" s="199">
        <v>1.55</v>
      </c>
    </row>
    <row r="253" spans="1:13" ht="15" customHeight="1" x14ac:dyDescent="0.25">
      <c r="A253" s="49">
        <v>2015</v>
      </c>
      <c r="B253" s="330" t="s">
        <v>8</v>
      </c>
      <c r="C253" s="334">
        <v>84675112000</v>
      </c>
      <c r="D253" s="334">
        <v>20277516000</v>
      </c>
      <c r="E253" s="334">
        <v>763920000</v>
      </c>
      <c r="F253" s="331">
        <v>610946</v>
      </c>
      <c r="G253" s="370">
        <f t="shared" si="9"/>
        <v>7.2151779379990668E-6</v>
      </c>
      <c r="H253" s="370">
        <f t="shared" si="10"/>
        <v>3.0129232791629901E-5</v>
      </c>
      <c r="I253" s="331">
        <v>125576</v>
      </c>
      <c r="J253" s="331">
        <v>100895</v>
      </c>
      <c r="K253" s="331">
        <f t="shared" si="11"/>
        <v>24681</v>
      </c>
      <c r="L253" s="199">
        <v>3.9</v>
      </c>
      <c r="M253" s="199">
        <v>1.55</v>
      </c>
    </row>
    <row r="254" spans="1:13" ht="15" customHeight="1" x14ac:dyDescent="0.25">
      <c r="A254" s="49">
        <v>1980</v>
      </c>
      <c r="B254" s="330" t="s">
        <v>9</v>
      </c>
      <c r="C254" s="331">
        <v>4660832801</v>
      </c>
      <c r="D254" s="331">
        <v>1838161114</v>
      </c>
      <c r="E254" s="331">
        <v>55635819</v>
      </c>
      <c r="F254" s="331">
        <v>55359</v>
      </c>
      <c r="G254" s="370">
        <f t="shared" si="9"/>
        <v>1.1877491075870069E-5</v>
      </c>
      <c r="H254" s="370">
        <f t="shared" si="10"/>
        <v>3.0116511321215994E-5</v>
      </c>
      <c r="I254" s="331">
        <v>13879</v>
      </c>
      <c r="J254" s="331">
        <v>65541</v>
      </c>
      <c r="K254" s="331">
        <f t="shared" si="11"/>
        <v>-51662</v>
      </c>
      <c r="L254" s="199">
        <v>3.03</v>
      </c>
      <c r="M254" s="199">
        <v>1.77</v>
      </c>
    </row>
    <row r="255" spans="1:13" ht="15" customHeight="1" x14ac:dyDescent="0.25">
      <c r="A255" s="49">
        <v>1981</v>
      </c>
      <c r="B255" s="330" t="s">
        <v>9</v>
      </c>
      <c r="C255" s="331">
        <v>5141262109</v>
      </c>
      <c r="D255" s="331">
        <v>1873365648</v>
      </c>
      <c r="E255" s="331">
        <v>46252345</v>
      </c>
      <c r="F255" s="331">
        <v>64148</v>
      </c>
      <c r="G255" s="370">
        <f t="shared" si="9"/>
        <v>1.2477091935792608E-5</v>
      </c>
      <c r="H255" s="370">
        <f t="shared" si="10"/>
        <v>3.424211395596168E-5</v>
      </c>
      <c r="I255" s="331">
        <v>7392</v>
      </c>
      <c r="J255" s="331">
        <v>51122</v>
      </c>
      <c r="K255" s="331">
        <f t="shared" si="11"/>
        <v>-43730</v>
      </c>
      <c r="L255" s="199">
        <v>2.4700000000000002</v>
      </c>
      <c r="M255" s="199">
        <v>1.77</v>
      </c>
    </row>
    <row r="256" spans="1:13" ht="15" customHeight="1" x14ac:dyDescent="0.25">
      <c r="A256" s="49">
        <v>1982</v>
      </c>
      <c r="B256" s="330" t="s">
        <v>9</v>
      </c>
      <c r="C256" s="331">
        <v>5487843367</v>
      </c>
      <c r="D256" s="331">
        <v>2144394005</v>
      </c>
      <c r="E256" s="331">
        <v>46973618</v>
      </c>
      <c r="F256" s="331">
        <v>80099</v>
      </c>
      <c r="G256" s="370">
        <f t="shared" si="9"/>
        <v>1.4595715410111485E-5</v>
      </c>
      <c r="H256" s="370">
        <f t="shared" si="10"/>
        <v>3.7352743858281772E-5</v>
      </c>
      <c r="I256" s="331">
        <v>200</v>
      </c>
      <c r="J256" s="331">
        <v>56862</v>
      </c>
      <c r="K256" s="331">
        <f t="shared" si="11"/>
        <v>-56662</v>
      </c>
      <c r="L256" s="199">
        <v>2.19</v>
      </c>
      <c r="M256" s="199">
        <v>1.77</v>
      </c>
    </row>
    <row r="257" spans="1:13" ht="15" customHeight="1" x14ac:dyDescent="0.25">
      <c r="A257" s="49">
        <v>1983</v>
      </c>
      <c r="B257" s="330" t="s">
        <v>9</v>
      </c>
      <c r="C257" s="331">
        <v>5850789462</v>
      </c>
      <c r="D257" s="331">
        <v>2270330774</v>
      </c>
      <c r="E257" s="331">
        <v>63194369</v>
      </c>
      <c r="F257" s="331">
        <v>74714</v>
      </c>
      <c r="G257" s="370">
        <f t="shared" si="9"/>
        <v>1.2769900623711762E-5</v>
      </c>
      <c r="H257" s="370">
        <f t="shared" si="10"/>
        <v>3.2908861059203523E-5</v>
      </c>
      <c r="I257" s="331">
        <v>2265</v>
      </c>
      <c r="J257" s="331">
        <v>63609</v>
      </c>
      <c r="K257" s="331">
        <f t="shared" si="11"/>
        <v>-61344</v>
      </c>
      <c r="L257" s="199">
        <v>2.78</v>
      </c>
      <c r="M257" s="199">
        <v>1.77</v>
      </c>
    </row>
    <row r="258" spans="1:13" ht="15" customHeight="1" x14ac:dyDescent="0.25">
      <c r="A258" s="49">
        <v>1984</v>
      </c>
      <c r="B258" s="330" t="s">
        <v>9</v>
      </c>
      <c r="C258" s="331">
        <v>6322000262</v>
      </c>
      <c r="D258" s="331">
        <v>2402676128</v>
      </c>
      <c r="E258" s="331">
        <v>73804363</v>
      </c>
      <c r="F258" s="331">
        <v>50022</v>
      </c>
      <c r="G258" s="370">
        <f t="shared" ref="G258:G321" si="12">F258/C258</f>
        <v>7.9123691754127299E-6</v>
      </c>
      <c r="H258" s="370">
        <f t="shared" ref="H258:H321" si="13">F258/D258</f>
        <v>2.0819285386432241E-5</v>
      </c>
      <c r="I258" s="331">
        <v>26340</v>
      </c>
      <c r="J258" s="331">
        <v>43609</v>
      </c>
      <c r="K258" s="331">
        <f t="shared" ref="K258:K321" si="14">I258-J258</f>
        <v>-17269</v>
      </c>
      <c r="L258" s="199">
        <v>3.07</v>
      </c>
      <c r="M258" s="199">
        <v>1.77</v>
      </c>
    </row>
    <row r="259" spans="1:13" ht="15" customHeight="1" x14ac:dyDescent="0.25">
      <c r="A259" s="49">
        <v>1985</v>
      </c>
      <c r="B259" s="330" t="s">
        <v>9</v>
      </c>
      <c r="C259" s="331">
        <v>6890228770</v>
      </c>
      <c r="D259" s="331">
        <v>2528253353</v>
      </c>
      <c r="E259" s="331">
        <v>80726148</v>
      </c>
      <c r="F259" s="331">
        <v>49083</v>
      </c>
      <c r="G259" s="370">
        <f t="shared" si="12"/>
        <v>7.1235660873419737E-6</v>
      </c>
      <c r="H259" s="370">
        <f t="shared" si="13"/>
        <v>1.9413798044313323E-5</v>
      </c>
      <c r="I259" s="331">
        <v>41651</v>
      </c>
      <c r="J259" s="331">
        <v>0</v>
      </c>
      <c r="K259" s="331">
        <f t="shared" si="14"/>
        <v>41651</v>
      </c>
      <c r="L259" s="199">
        <v>3.19</v>
      </c>
      <c r="M259" s="199">
        <v>1.77</v>
      </c>
    </row>
    <row r="260" spans="1:13" ht="15" customHeight="1" x14ac:dyDescent="0.25">
      <c r="A260" s="49">
        <v>1986</v>
      </c>
      <c r="B260" s="330" t="s">
        <v>9</v>
      </c>
      <c r="C260" s="331">
        <v>7554805650</v>
      </c>
      <c r="D260" s="331">
        <v>2651981239</v>
      </c>
      <c r="E260" s="331">
        <v>78746098</v>
      </c>
      <c r="F260" s="331">
        <v>59797</v>
      </c>
      <c r="G260" s="370">
        <f t="shared" si="12"/>
        <v>7.9150944141097798E-6</v>
      </c>
      <c r="H260" s="370">
        <f t="shared" si="13"/>
        <v>2.2548047897408223E-5</v>
      </c>
      <c r="I260" s="331">
        <v>71699</v>
      </c>
      <c r="J260" s="331">
        <v>0</v>
      </c>
      <c r="K260" s="331">
        <f t="shared" si="14"/>
        <v>71699</v>
      </c>
      <c r="L260" s="199">
        <v>2.97</v>
      </c>
      <c r="M260" s="199">
        <v>1.77</v>
      </c>
    </row>
    <row r="261" spans="1:13" ht="15" customHeight="1" x14ac:dyDescent="0.25">
      <c r="A261" s="49">
        <v>1987</v>
      </c>
      <c r="B261" s="330" t="s">
        <v>9</v>
      </c>
      <c r="C261" s="331">
        <v>8323509166</v>
      </c>
      <c r="D261" s="331">
        <v>2785483370</v>
      </c>
      <c r="E261" s="331">
        <v>58255028</v>
      </c>
      <c r="F261" s="331">
        <v>58598</v>
      </c>
      <c r="G261" s="370">
        <f t="shared" si="12"/>
        <v>7.0400595267392773E-6</v>
      </c>
      <c r="H261" s="370">
        <f t="shared" si="13"/>
        <v>2.1036923297086494E-5</v>
      </c>
      <c r="I261" s="331">
        <v>77893</v>
      </c>
      <c r="J261" s="331">
        <v>0</v>
      </c>
      <c r="K261" s="331">
        <f t="shared" si="14"/>
        <v>77893</v>
      </c>
      <c r="L261" s="199">
        <v>2.09</v>
      </c>
      <c r="M261" s="199">
        <v>1.77</v>
      </c>
    </row>
    <row r="262" spans="1:13" ht="15" customHeight="1" x14ac:dyDescent="0.25">
      <c r="A262" s="49">
        <v>1988</v>
      </c>
      <c r="B262" s="330" t="s">
        <v>9</v>
      </c>
      <c r="C262" s="331">
        <v>9477547545</v>
      </c>
      <c r="D262" s="331">
        <v>2944303770</v>
      </c>
      <c r="E262" s="331">
        <v>47236868</v>
      </c>
      <c r="F262" s="331">
        <v>58545</v>
      </c>
      <c r="G262" s="370">
        <f t="shared" si="12"/>
        <v>6.1772309473547463E-6</v>
      </c>
      <c r="H262" s="370">
        <f t="shared" si="13"/>
        <v>1.988415753718238E-5</v>
      </c>
      <c r="I262" s="331">
        <v>82335</v>
      </c>
      <c r="J262" s="331">
        <v>0</v>
      </c>
      <c r="K262" s="331">
        <f t="shared" si="14"/>
        <v>82335</v>
      </c>
      <c r="L262" s="199">
        <v>1.6</v>
      </c>
      <c r="M262" s="199">
        <v>1.77</v>
      </c>
    </row>
    <row r="263" spans="1:13" ht="15" customHeight="1" x14ac:dyDescent="0.25">
      <c r="A263" s="49">
        <v>1989</v>
      </c>
      <c r="B263" s="330" t="s">
        <v>9</v>
      </c>
      <c r="C263" s="331">
        <v>10261345875</v>
      </c>
      <c r="D263" s="331">
        <v>3023419253</v>
      </c>
      <c r="E263" s="331">
        <v>45642335</v>
      </c>
      <c r="F263" s="331">
        <v>63180</v>
      </c>
      <c r="G263" s="370">
        <f t="shared" si="12"/>
        <v>6.1570870692437315E-6</v>
      </c>
      <c r="H263" s="370">
        <f t="shared" si="13"/>
        <v>2.089687030249258E-5</v>
      </c>
      <c r="I263" s="331">
        <v>76110</v>
      </c>
      <c r="J263" s="331">
        <v>0</v>
      </c>
      <c r="K263" s="331">
        <f t="shared" si="14"/>
        <v>76110</v>
      </c>
      <c r="L263" s="199">
        <v>1.51</v>
      </c>
      <c r="M263" s="199">
        <v>1.77</v>
      </c>
    </row>
    <row r="264" spans="1:13" ht="15" customHeight="1" x14ac:dyDescent="0.25">
      <c r="A264" s="49">
        <v>1990</v>
      </c>
      <c r="B264" s="330" t="s">
        <v>9</v>
      </c>
      <c r="C264" s="331">
        <v>10576248130</v>
      </c>
      <c r="D264" s="331">
        <v>3019336921</v>
      </c>
      <c r="E264" s="331">
        <v>57677336</v>
      </c>
      <c r="F264" s="331">
        <v>76893</v>
      </c>
      <c r="G264" s="370">
        <f t="shared" si="12"/>
        <v>7.2703475802434676E-6</v>
      </c>
      <c r="H264" s="370">
        <f t="shared" si="13"/>
        <v>2.5466849845473074E-5</v>
      </c>
      <c r="I264" s="331">
        <v>67366</v>
      </c>
      <c r="J264" s="331">
        <v>0</v>
      </c>
      <c r="K264" s="331">
        <f t="shared" si="14"/>
        <v>67366</v>
      </c>
      <c r="L264" s="199">
        <v>1.91</v>
      </c>
      <c r="M264" s="199">
        <v>1.77</v>
      </c>
    </row>
    <row r="265" spans="1:13" ht="15" customHeight="1" x14ac:dyDescent="0.25">
      <c r="A265" s="49">
        <v>1991</v>
      </c>
      <c r="B265" s="330" t="s">
        <v>9</v>
      </c>
      <c r="C265" s="331">
        <v>10563976768</v>
      </c>
      <c r="D265" s="331">
        <v>2822346837</v>
      </c>
      <c r="E265" s="331">
        <v>51422614</v>
      </c>
      <c r="F265" s="331">
        <v>119523</v>
      </c>
      <c r="G265" s="370">
        <f t="shared" si="12"/>
        <v>1.1314205116585884E-5</v>
      </c>
      <c r="H265" s="370">
        <f t="shared" si="13"/>
        <v>4.2348799386770762E-5</v>
      </c>
      <c r="I265" s="331">
        <v>12465</v>
      </c>
      <c r="J265" s="331">
        <v>0</v>
      </c>
      <c r="K265" s="331">
        <f t="shared" si="14"/>
        <v>12465</v>
      </c>
      <c r="L265" s="199">
        <v>1.82</v>
      </c>
      <c r="M265" s="199">
        <v>1.77</v>
      </c>
    </row>
    <row r="266" spans="1:13" ht="15" customHeight="1" x14ac:dyDescent="0.25">
      <c r="A266" s="49">
        <v>1992</v>
      </c>
      <c r="B266" s="330" t="s">
        <v>9</v>
      </c>
      <c r="C266" s="331">
        <v>11062341348</v>
      </c>
      <c r="D266" s="331">
        <v>2867103670</v>
      </c>
      <c r="E266" s="331">
        <v>83448345</v>
      </c>
      <c r="F266" s="331">
        <v>116808</v>
      </c>
      <c r="G266" s="370">
        <f t="shared" si="12"/>
        <v>1.0559066686286816E-5</v>
      </c>
      <c r="H266" s="370">
        <f t="shared" si="13"/>
        <v>4.0740766098632211E-5</v>
      </c>
      <c r="I266" s="331">
        <v>50</v>
      </c>
      <c r="J266" s="331">
        <v>19336</v>
      </c>
      <c r="K266" s="331">
        <f t="shared" si="14"/>
        <v>-19286</v>
      </c>
      <c r="L266" s="199">
        <v>2.91</v>
      </c>
      <c r="M266" s="199">
        <v>1.77</v>
      </c>
    </row>
    <row r="267" spans="1:13" ht="15" customHeight="1" x14ac:dyDescent="0.25">
      <c r="A267" s="49">
        <v>1993</v>
      </c>
      <c r="B267" s="330" t="s">
        <v>9</v>
      </c>
      <c r="C267" s="331">
        <v>11325579660</v>
      </c>
      <c r="D267" s="331">
        <v>3127990933</v>
      </c>
      <c r="E267" s="331">
        <v>121330792</v>
      </c>
      <c r="F267" s="331">
        <v>96321</v>
      </c>
      <c r="G267" s="370">
        <f t="shared" si="12"/>
        <v>8.5047302558993265E-6</v>
      </c>
      <c r="H267" s="370">
        <f t="shared" si="13"/>
        <v>3.0793247826847201E-5</v>
      </c>
      <c r="I267" s="331">
        <v>5937</v>
      </c>
      <c r="J267" s="331">
        <v>0</v>
      </c>
      <c r="K267" s="331">
        <f t="shared" si="14"/>
        <v>5937</v>
      </c>
      <c r="L267" s="199">
        <v>3.88</v>
      </c>
      <c r="M267" s="199">
        <v>1.77</v>
      </c>
    </row>
    <row r="268" spans="1:13" ht="15" customHeight="1" x14ac:dyDescent="0.25">
      <c r="A268" s="49">
        <v>1994</v>
      </c>
      <c r="B268" s="330" t="s">
        <v>9</v>
      </c>
      <c r="C268" s="331">
        <v>11666662977</v>
      </c>
      <c r="D268" s="331">
        <v>3314843686</v>
      </c>
      <c r="E268" s="331">
        <v>119790483</v>
      </c>
      <c r="F268" s="331">
        <v>90828</v>
      </c>
      <c r="G268" s="370">
        <f t="shared" si="12"/>
        <v>7.7852596050011017E-6</v>
      </c>
      <c r="H268" s="370">
        <f t="shared" si="13"/>
        <v>2.7400387047994273E-5</v>
      </c>
      <c r="I268" s="331">
        <v>41141</v>
      </c>
      <c r="J268" s="331">
        <v>0</v>
      </c>
      <c r="K268" s="331">
        <f t="shared" si="14"/>
        <v>41141</v>
      </c>
      <c r="L268" s="199">
        <v>3.61</v>
      </c>
      <c r="M268" s="199">
        <v>1.77</v>
      </c>
    </row>
    <row r="269" spans="1:13" ht="15" customHeight="1" x14ac:dyDescent="0.25">
      <c r="A269" s="49">
        <v>1995</v>
      </c>
      <c r="B269" s="330" t="s">
        <v>9</v>
      </c>
      <c r="C269" s="331">
        <v>12113767316</v>
      </c>
      <c r="D269" s="331">
        <v>3464607752</v>
      </c>
      <c r="E269" s="331">
        <v>111644737</v>
      </c>
      <c r="F269" s="331">
        <v>93846</v>
      </c>
      <c r="G269" s="370">
        <f t="shared" si="12"/>
        <v>7.7470532124260923E-6</v>
      </c>
      <c r="H269" s="370">
        <f t="shared" si="13"/>
        <v>2.7087049016104608E-5</v>
      </c>
      <c r="I269" s="331">
        <v>68636</v>
      </c>
      <c r="J269" s="331">
        <v>0</v>
      </c>
      <c r="K269" s="331">
        <f t="shared" si="14"/>
        <v>68636</v>
      </c>
      <c r="L269" s="199">
        <v>3.22</v>
      </c>
      <c r="M269" s="199">
        <v>1.65</v>
      </c>
    </row>
    <row r="270" spans="1:13" ht="15" customHeight="1" x14ac:dyDescent="0.25">
      <c r="A270" s="49">
        <v>1996</v>
      </c>
      <c r="B270" s="330" t="s">
        <v>9</v>
      </c>
      <c r="C270" s="331">
        <v>13327263661</v>
      </c>
      <c r="D270" s="331">
        <v>3545133440</v>
      </c>
      <c r="E270" s="331">
        <v>104776320</v>
      </c>
      <c r="F270" s="331">
        <v>86480</v>
      </c>
      <c r="G270" s="370">
        <f t="shared" si="12"/>
        <v>6.4889539368136918E-6</v>
      </c>
      <c r="H270" s="370">
        <f t="shared" si="13"/>
        <v>2.4394004192970519E-5</v>
      </c>
      <c r="I270" s="331">
        <v>99368</v>
      </c>
      <c r="J270" s="331">
        <v>0</v>
      </c>
      <c r="K270" s="331">
        <f t="shared" si="14"/>
        <v>99368</v>
      </c>
      <c r="L270" s="199">
        <v>2.95</v>
      </c>
      <c r="M270" s="199">
        <v>1.47</v>
      </c>
    </row>
    <row r="271" spans="1:13" ht="15" customHeight="1" x14ac:dyDescent="0.25">
      <c r="A271" s="49">
        <v>1997</v>
      </c>
      <c r="B271" s="330" t="s">
        <v>9</v>
      </c>
      <c r="C271" s="331">
        <v>13755872662</v>
      </c>
      <c r="D271" s="331">
        <v>3284383231</v>
      </c>
      <c r="E271" s="331">
        <v>68218675</v>
      </c>
      <c r="F271" s="331">
        <v>68692</v>
      </c>
      <c r="G271" s="370">
        <f t="shared" si="12"/>
        <v>4.9936490172490956E-6</v>
      </c>
      <c r="H271" s="370">
        <f t="shared" si="13"/>
        <v>2.0914733503582427E-5</v>
      </c>
      <c r="I271" s="331">
        <v>135627</v>
      </c>
      <c r="J271" s="331">
        <v>0</v>
      </c>
      <c r="K271" s="331">
        <f t="shared" si="14"/>
        <v>135627</v>
      </c>
      <c r="L271" s="199">
        <v>2.06</v>
      </c>
      <c r="M271" s="199">
        <v>1.33</v>
      </c>
    </row>
    <row r="272" spans="1:13" ht="15" customHeight="1" x14ac:dyDescent="0.25">
      <c r="A272" s="49">
        <v>1998</v>
      </c>
      <c r="B272" s="330" t="s">
        <v>9</v>
      </c>
      <c r="C272" s="331">
        <v>14765873043</v>
      </c>
      <c r="D272" s="331">
        <v>3442554942</v>
      </c>
      <c r="E272" s="331">
        <v>80284009</v>
      </c>
      <c r="F272" s="331">
        <v>58760</v>
      </c>
      <c r="G272" s="370">
        <f t="shared" si="12"/>
        <v>3.9794463780694718E-6</v>
      </c>
      <c r="H272" s="370">
        <f t="shared" si="13"/>
        <v>1.7068718143932532E-5</v>
      </c>
      <c r="I272" s="331">
        <v>174522</v>
      </c>
      <c r="J272" s="331">
        <v>0</v>
      </c>
      <c r="K272" s="331">
        <f t="shared" si="14"/>
        <v>174522</v>
      </c>
      <c r="L272" s="199">
        <v>2.33</v>
      </c>
      <c r="M272" s="199">
        <v>1.33</v>
      </c>
    </row>
    <row r="273" spans="1:13" ht="15" customHeight="1" x14ac:dyDescent="0.25">
      <c r="A273" s="49">
        <v>1999</v>
      </c>
      <c r="B273" s="330" t="s">
        <v>9</v>
      </c>
      <c r="C273" s="331">
        <v>16522220358</v>
      </c>
      <c r="D273" s="331">
        <v>3651615816</v>
      </c>
      <c r="E273" s="331">
        <v>82471905</v>
      </c>
      <c r="F273" s="331">
        <v>56366</v>
      </c>
      <c r="G273" s="370">
        <f t="shared" si="12"/>
        <v>3.4115269484774655E-6</v>
      </c>
      <c r="H273" s="370">
        <f t="shared" si="13"/>
        <v>1.5435906415188997E-5</v>
      </c>
      <c r="I273" s="331">
        <v>212766</v>
      </c>
      <c r="J273" s="331">
        <v>0</v>
      </c>
      <c r="K273" s="331">
        <f t="shared" si="14"/>
        <v>212766</v>
      </c>
      <c r="L273" s="199">
        <v>2.2599999999999998</v>
      </c>
      <c r="M273" s="199">
        <v>1.33</v>
      </c>
    </row>
    <row r="274" spans="1:13" ht="15" customHeight="1" x14ac:dyDescent="0.25">
      <c r="A274" s="49">
        <v>2000</v>
      </c>
      <c r="B274" s="330" t="s">
        <v>9</v>
      </c>
      <c r="C274" s="331">
        <v>18481645092</v>
      </c>
      <c r="D274" s="331">
        <v>3893744461</v>
      </c>
      <c r="E274" s="331">
        <v>88096773</v>
      </c>
      <c r="F274" s="331">
        <v>63708</v>
      </c>
      <c r="G274" s="370">
        <f t="shared" si="12"/>
        <v>3.4470957364924601E-6</v>
      </c>
      <c r="H274" s="370">
        <f t="shared" si="13"/>
        <v>1.6361628411443922E-5</v>
      </c>
      <c r="I274" s="331">
        <v>259088</v>
      </c>
      <c r="J274" s="331">
        <v>0</v>
      </c>
      <c r="K274" s="331">
        <f t="shared" si="14"/>
        <v>259088</v>
      </c>
      <c r="L274" s="199">
        <v>2.2599999999999998</v>
      </c>
      <c r="M274" s="199">
        <v>1.33</v>
      </c>
    </row>
    <row r="275" spans="1:13" ht="15" customHeight="1" x14ac:dyDescent="0.25">
      <c r="A275" s="49">
        <v>2001</v>
      </c>
      <c r="B275" s="330" t="s">
        <v>9</v>
      </c>
      <c r="C275" s="331">
        <v>19494701731</v>
      </c>
      <c r="D275" s="331">
        <v>3878055598</v>
      </c>
      <c r="E275" s="331">
        <v>85539728</v>
      </c>
      <c r="F275" s="331">
        <v>89442</v>
      </c>
      <c r="G275" s="370">
        <f t="shared" si="12"/>
        <v>4.5880158226669097E-6</v>
      </c>
      <c r="H275" s="370">
        <f t="shared" si="13"/>
        <v>2.3063619832095043E-5</v>
      </c>
      <c r="I275" s="331">
        <v>278267</v>
      </c>
      <c r="J275" s="331">
        <v>0</v>
      </c>
      <c r="K275" s="331">
        <f t="shared" si="14"/>
        <v>278267</v>
      </c>
      <c r="L275" s="199">
        <v>2.21</v>
      </c>
      <c r="M275" s="199">
        <v>1.33</v>
      </c>
    </row>
    <row r="276" spans="1:13" ht="15" customHeight="1" x14ac:dyDescent="0.25">
      <c r="A276" s="49">
        <v>2002</v>
      </c>
      <c r="B276" s="330" t="s">
        <v>9</v>
      </c>
      <c r="C276" s="331">
        <v>19977134283</v>
      </c>
      <c r="D276" s="331">
        <v>3824635893</v>
      </c>
      <c r="E276" s="331">
        <v>82756740</v>
      </c>
      <c r="F276" s="331">
        <v>124756</v>
      </c>
      <c r="G276" s="370">
        <f t="shared" si="12"/>
        <v>6.2449397512517086E-6</v>
      </c>
      <c r="H276" s="370">
        <f t="shared" si="13"/>
        <v>3.2619052764822236E-5</v>
      </c>
      <c r="I276" s="331">
        <v>289870</v>
      </c>
      <c r="J276" s="331">
        <v>0</v>
      </c>
      <c r="K276" s="331">
        <f t="shared" si="14"/>
        <v>289870</v>
      </c>
      <c r="L276" s="199">
        <v>2.17</v>
      </c>
      <c r="M276" s="199">
        <v>1.33</v>
      </c>
    </row>
    <row r="277" spans="1:13" ht="15" customHeight="1" x14ac:dyDescent="0.25">
      <c r="A277" s="49">
        <v>2003</v>
      </c>
      <c r="B277" s="330" t="s">
        <v>9</v>
      </c>
      <c r="C277" s="331">
        <v>20626966821</v>
      </c>
      <c r="D277" s="331">
        <v>3836863296</v>
      </c>
      <c r="E277" s="331">
        <v>80393409</v>
      </c>
      <c r="F277" s="331">
        <v>105263</v>
      </c>
      <c r="G277" s="370">
        <f t="shared" si="12"/>
        <v>5.103173962195612E-6</v>
      </c>
      <c r="H277" s="370">
        <f t="shared" si="13"/>
        <v>2.7434649576840175E-5</v>
      </c>
      <c r="I277" s="331">
        <v>287080</v>
      </c>
      <c r="J277" s="331">
        <v>0</v>
      </c>
      <c r="K277" s="331">
        <f t="shared" si="14"/>
        <v>287080</v>
      </c>
      <c r="L277" s="199">
        <v>2.1</v>
      </c>
      <c r="M277" s="199">
        <v>1.33</v>
      </c>
    </row>
    <row r="278" spans="1:13" ht="15" customHeight="1" x14ac:dyDescent="0.25">
      <c r="A278" s="49">
        <v>2004</v>
      </c>
      <c r="B278" s="330" t="s">
        <v>9</v>
      </c>
      <c r="C278" s="331">
        <v>22248908204</v>
      </c>
      <c r="D278" s="331">
        <v>3962899648</v>
      </c>
      <c r="E278" s="331">
        <v>95896982</v>
      </c>
      <c r="F278" s="331">
        <v>84538</v>
      </c>
      <c r="G278" s="370">
        <f t="shared" si="12"/>
        <v>3.7996471208776623E-6</v>
      </c>
      <c r="H278" s="370">
        <f t="shared" si="13"/>
        <v>2.1332359511718828E-5</v>
      </c>
      <c r="I278" s="331">
        <v>320254</v>
      </c>
      <c r="J278" s="331">
        <v>0</v>
      </c>
      <c r="K278" s="331">
        <f t="shared" si="14"/>
        <v>320254</v>
      </c>
      <c r="L278" s="199">
        <v>2.42</v>
      </c>
      <c r="M278" s="199">
        <v>1.33</v>
      </c>
    </row>
    <row r="279" spans="1:13" ht="15" customHeight="1" x14ac:dyDescent="0.25">
      <c r="A279" s="49">
        <v>2005</v>
      </c>
      <c r="B279" s="330" t="s">
        <v>9</v>
      </c>
      <c r="C279" s="331">
        <v>23526349378</v>
      </c>
      <c r="D279" s="331">
        <v>4067562882</v>
      </c>
      <c r="E279" s="331">
        <v>97330538</v>
      </c>
      <c r="F279" s="331">
        <v>81582</v>
      </c>
      <c r="G279" s="370">
        <f t="shared" si="12"/>
        <v>3.467686324351244E-6</v>
      </c>
      <c r="H279" s="370">
        <f t="shared" si="13"/>
        <v>2.0056727422954194E-5</v>
      </c>
      <c r="I279" s="331">
        <v>355227</v>
      </c>
      <c r="J279" s="331">
        <v>0</v>
      </c>
      <c r="K279" s="331">
        <f t="shared" si="14"/>
        <v>355227</v>
      </c>
      <c r="L279" s="199">
        <v>2.39</v>
      </c>
      <c r="M279" s="199">
        <v>1.33</v>
      </c>
    </row>
    <row r="280" spans="1:13" ht="15" customHeight="1" x14ac:dyDescent="0.25">
      <c r="A280" s="49">
        <v>2006</v>
      </c>
      <c r="B280" s="330" t="s">
        <v>9</v>
      </c>
      <c r="C280" s="331">
        <v>25348241862</v>
      </c>
      <c r="D280" s="331">
        <v>4191063324</v>
      </c>
      <c r="E280" s="331">
        <v>85740046</v>
      </c>
      <c r="F280" s="331">
        <v>87170</v>
      </c>
      <c r="G280" s="370">
        <f t="shared" si="12"/>
        <v>3.438897280315054E-6</v>
      </c>
      <c r="H280" s="370">
        <f t="shared" si="13"/>
        <v>2.079901763851278E-5</v>
      </c>
      <c r="I280" s="331">
        <v>376861</v>
      </c>
      <c r="J280" s="331">
        <v>0</v>
      </c>
      <c r="K280" s="331">
        <f t="shared" si="14"/>
        <v>376861</v>
      </c>
      <c r="L280" s="199">
        <v>2.0499999999999998</v>
      </c>
      <c r="M280" s="199">
        <v>1.33</v>
      </c>
    </row>
    <row r="281" spans="1:13" x14ac:dyDescent="0.25">
      <c r="A281" s="49">
        <v>2007</v>
      </c>
      <c r="B281" s="330" t="s">
        <v>9</v>
      </c>
      <c r="C281" s="331">
        <v>27345906371</v>
      </c>
      <c r="D281" s="331">
        <v>4309023966</v>
      </c>
      <c r="E281" s="331">
        <v>87586887</v>
      </c>
      <c r="F281" s="331">
        <v>84971</v>
      </c>
      <c r="G281" s="370">
        <f t="shared" si="12"/>
        <v>3.1072658132886284E-6</v>
      </c>
      <c r="H281" s="370">
        <f t="shared" si="13"/>
        <v>1.9719314784614033E-5</v>
      </c>
      <c r="I281" s="331">
        <v>400275</v>
      </c>
      <c r="J281" s="331">
        <v>0</v>
      </c>
      <c r="K281" s="331">
        <f t="shared" si="14"/>
        <v>400275</v>
      </c>
      <c r="L281" s="199">
        <v>2.0299999999999998</v>
      </c>
      <c r="M281" s="199">
        <v>1.33</v>
      </c>
    </row>
    <row r="282" spans="1:13" ht="15" customHeight="1" x14ac:dyDescent="0.25">
      <c r="A282" s="49">
        <v>2008</v>
      </c>
      <c r="B282" s="330" t="s">
        <v>9</v>
      </c>
      <c r="C282" s="331">
        <v>28329978039</v>
      </c>
      <c r="D282" s="331">
        <v>4304021162</v>
      </c>
      <c r="E282" s="331">
        <v>87568388</v>
      </c>
      <c r="F282" s="331">
        <v>104226</v>
      </c>
      <c r="G282" s="370">
        <f t="shared" si="12"/>
        <v>3.6790003810281459E-6</v>
      </c>
      <c r="H282" s="370">
        <f t="shared" si="13"/>
        <v>2.4215959001365151E-5</v>
      </c>
      <c r="I282" s="331">
        <v>411777</v>
      </c>
      <c r="J282" s="331">
        <v>0</v>
      </c>
      <c r="K282" s="331">
        <f t="shared" si="14"/>
        <v>411777</v>
      </c>
      <c r="L282" s="199">
        <v>2</v>
      </c>
      <c r="M282" s="199">
        <v>1.33</v>
      </c>
    </row>
    <row r="283" spans="1:13" ht="15" customHeight="1" x14ac:dyDescent="0.25">
      <c r="A283" s="49">
        <v>2009</v>
      </c>
      <c r="B283" s="330" t="s">
        <v>9</v>
      </c>
      <c r="C283" s="331">
        <v>27601435632</v>
      </c>
      <c r="D283" s="331">
        <v>4136608958</v>
      </c>
      <c r="E283" s="331">
        <v>85566527</v>
      </c>
      <c r="F283" s="331">
        <v>201556</v>
      </c>
      <c r="G283" s="370">
        <f t="shared" si="12"/>
        <v>7.3023737854535377E-6</v>
      </c>
      <c r="H283" s="370">
        <f t="shared" si="13"/>
        <v>4.8724934371715392E-5</v>
      </c>
      <c r="I283" s="331">
        <v>329696</v>
      </c>
      <c r="J283" s="331">
        <v>0</v>
      </c>
      <c r="K283" s="331">
        <f t="shared" si="14"/>
        <v>329696</v>
      </c>
      <c r="L283" s="199">
        <v>2.1</v>
      </c>
      <c r="M283" s="199">
        <v>1.01</v>
      </c>
    </row>
    <row r="284" spans="1:13" ht="15" customHeight="1" x14ac:dyDescent="0.25">
      <c r="A284" s="49">
        <v>2010</v>
      </c>
      <c r="B284" s="330" t="s">
        <v>9</v>
      </c>
      <c r="C284" s="331">
        <v>28491571475</v>
      </c>
      <c r="D284" s="331">
        <v>4229104416</v>
      </c>
      <c r="E284" s="331">
        <v>105102560</v>
      </c>
      <c r="F284" s="331">
        <v>170406</v>
      </c>
      <c r="G284" s="370">
        <f t="shared" si="12"/>
        <v>5.98092668035258E-6</v>
      </c>
      <c r="H284" s="370">
        <f t="shared" si="13"/>
        <v>4.0293637431911544E-5</v>
      </c>
      <c r="I284" s="331">
        <v>300732</v>
      </c>
      <c r="J284" s="331">
        <v>0</v>
      </c>
      <c r="K284" s="331">
        <f t="shared" si="14"/>
        <v>300732</v>
      </c>
      <c r="L284" s="199">
        <v>2.5</v>
      </c>
      <c r="M284" s="199">
        <v>1.01</v>
      </c>
    </row>
    <row r="285" spans="1:13" ht="15" customHeight="1" x14ac:dyDescent="0.25">
      <c r="A285" s="49">
        <v>2011</v>
      </c>
      <c r="B285" s="330" t="s">
        <v>9</v>
      </c>
      <c r="C285" s="331">
        <v>29942769775</v>
      </c>
      <c r="D285" s="331">
        <v>4340585657</v>
      </c>
      <c r="E285" s="331">
        <v>120514093</v>
      </c>
      <c r="F285" s="331">
        <v>148255</v>
      </c>
      <c r="G285" s="370">
        <f t="shared" si="12"/>
        <v>4.9512787599155893E-6</v>
      </c>
      <c r="H285" s="370">
        <f t="shared" si="13"/>
        <v>3.4155529164805514E-5</v>
      </c>
      <c r="I285" s="331">
        <v>293878</v>
      </c>
      <c r="J285" s="331">
        <v>0</v>
      </c>
      <c r="K285" s="331">
        <f t="shared" si="14"/>
        <v>293878</v>
      </c>
      <c r="L285" s="199">
        <v>2.8</v>
      </c>
      <c r="M285" s="199">
        <v>1.01</v>
      </c>
    </row>
    <row r="286" spans="1:13" ht="15" customHeight="1" x14ac:dyDescent="0.25">
      <c r="A286" s="49">
        <v>2012</v>
      </c>
      <c r="B286" s="330" t="s">
        <v>9</v>
      </c>
      <c r="C286" s="331">
        <v>31401743777</v>
      </c>
      <c r="D286" s="331">
        <v>4435883380</v>
      </c>
      <c r="E286" s="331">
        <v>124825714</v>
      </c>
      <c r="F286" s="331">
        <v>138809</v>
      </c>
      <c r="G286" s="370">
        <f t="shared" si="12"/>
        <v>4.4204233046978026E-6</v>
      </c>
      <c r="H286" s="370">
        <f t="shared" si="13"/>
        <v>3.1292301467131895E-5</v>
      </c>
      <c r="I286" s="331">
        <v>292702</v>
      </c>
      <c r="J286" s="331">
        <v>0</v>
      </c>
      <c r="K286" s="331">
        <f t="shared" si="14"/>
        <v>292702</v>
      </c>
      <c r="L286" s="199">
        <v>2.81</v>
      </c>
      <c r="M286" s="199">
        <v>1.01</v>
      </c>
    </row>
    <row r="287" spans="1:13" ht="15" customHeight="1" x14ac:dyDescent="0.25">
      <c r="A287" s="49">
        <v>2013</v>
      </c>
      <c r="B287" s="330" t="s">
        <v>9</v>
      </c>
      <c r="C287" s="331">
        <v>32393839156</v>
      </c>
      <c r="D287" s="331">
        <v>4580408053</v>
      </c>
      <c r="E287" s="331">
        <v>128261306</v>
      </c>
      <c r="F287" s="331">
        <v>143687</v>
      </c>
      <c r="G287" s="370">
        <f t="shared" si="12"/>
        <v>4.4356273829737228E-6</v>
      </c>
      <c r="H287" s="370">
        <f t="shared" si="13"/>
        <v>3.1369912535607012E-5</v>
      </c>
      <c r="I287" s="331">
        <v>293274</v>
      </c>
      <c r="J287" s="331">
        <v>0</v>
      </c>
      <c r="K287" s="331">
        <f t="shared" si="14"/>
        <v>293274</v>
      </c>
      <c r="L287" s="199">
        <v>2.8</v>
      </c>
      <c r="M287" s="199">
        <v>1.01</v>
      </c>
    </row>
    <row r="288" spans="1:13" ht="15" customHeight="1" x14ac:dyDescent="0.25">
      <c r="A288" s="49">
        <v>2014</v>
      </c>
      <c r="B288" s="330" t="s">
        <v>9</v>
      </c>
      <c r="C288" s="331">
        <v>34065614099</v>
      </c>
      <c r="D288" s="331">
        <v>4824335266</v>
      </c>
      <c r="E288" s="331">
        <v>134585368</v>
      </c>
      <c r="F288" s="331">
        <v>128123</v>
      </c>
      <c r="G288" s="370">
        <f t="shared" si="12"/>
        <v>3.7610653260984677E-6</v>
      </c>
      <c r="H288" s="370">
        <f t="shared" si="13"/>
        <v>2.6557648450131576E-5</v>
      </c>
      <c r="I288" s="331">
        <v>305513</v>
      </c>
      <c r="J288" s="331">
        <v>0</v>
      </c>
      <c r="K288" s="331">
        <f t="shared" si="14"/>
        <v>305513</v>
      </c>
      <c r="L288" s="333">
        <v>2.7897183877021203</v>
      </c>
      <c r="M288" s="199">
        <v>1.01</v>
      </c>
    </row>
    <row r="289" spans="1:13" ht="15" customHeight="1" x14ac:dyDescent="0.25">
      <c r="A289" s="49">
        <v>2015</v>
      </c>
      <c r="B289" s="330" t="s">
        <v>9</v>
      </c>
      <c r="C289" s="334">
        <v>36016523000</v>
      </c>
      <c r="D289" s="334">
        <v>5115194000</v>
      </c>
      <c r="E289" s="334">
        <v>159705000</v>
      </c>
      <c r="F289" s="331">
        <v>101892</v>
      </c>
      <c r="G289" s="370">
        <f t="shared" si="12"/>
        <v>2.8290348849054641E-6</v>
      </c>
      <c r="H289" s="370">
        <f t="shared" si="13"/>
        <v>1.9919479104800328E-5</v>
      </c>
      <c r="I289" s="331">
        <v>351252</v>
      </c>
      <c r="J289" s="199">
        <v>0</v>
      </c>
      <c r="K289" s="331">
        <f t="shared" si="14"/>
        <v>351252</v>
      </c>
      <c r="L289" s="199">
        <v>2.8</v>
      </c>
      <c r="M289" s="199">
        <v>1.01</v>
      </c>
    </row>
    <row r="290" spans="1:13" ht="15" customHeight="1" x14ac:dyDescent="0.25">
      <c r="A290" s="49">
        <v>1980</v>
      </c>
      <c r="B290" s="330" t="s">
        <v>10</v>
      </c>
      <c r="C290" s="331">
        <v>3148969785</v>
      </c>
      <c r="D290" s="331">
        <v>1201222158</v>
      </c>
      <c r="E290" s="331">
        <v>35690977</v>
      </c>
      <c r="F290" s="331">
        <v>42425</v>
      </c>
      <c r="G290" s="370">
        <f t="shared" si="12"/>
        <v>1.3472660233861215E-5</v>
      </c>
      <c r="H290" s="370">
        <f t="shared" si="13"/>
        <v>3.531819631985177E-5</v>
      </c>
      <c r="I290" s="331">
        <v>6914</v>
      </c>
      <c r="J290" s="331">
        <v>43767</v>
      </c>
      <c r="K290" s="331">
        <f t="shared" si="14"/>
        <v>-36853</v>
      </c>
      <c r="L290" s="199">
        <v>2.97</v>
      </c>
      <c r="M290" s="199">
        <v>2.0299999999999998</v>
      </c>
    </row>
    <row r="291" spans="1:13" ht="15" customHeight="1" x14ac:dyDescent="0.25">
      <c r="A291" s="49">
        <v>1981</v>
      </c>
      <c r="B291" s="330" t="s">
        <v>10</v>
      </c>
      <c r="C291" s="331">
        <v>3378032782</v>
      </c>
      <c r="D291" s="331">
        <v>1209379269</v>
      </c>
      <c r="E291" s="331">
        <v>34918768</v>
      </c>
      <c r="F291" s="331">
        <v>45188</v>
      </c>
      <c r="G291" s="370">
        <f t="shared" si="12"/>
        <v>1.3377016422335005E-5</v>
      </c>
      <c r="H291" s="370">
        <f t="shared" si="13"/>
        <v>3.7364622627742431E-5</v>
      </c>
      <c r="I291" s="331">
        <v>2592</v>
      </c>
      <c r="J291" s="331">
        <v>46351</v>
      </c>
      <c r="K291" s="331">
        <f t="shared" si="14"/>
        <v>-43759</v>
      </c>
      <c r="L291" s="199">
        <v>2.89</v>
      </c>
      <c r="M291" s="199">
        <v>2.0299999999999998</v>
      </c>
    </row>
    <row r="292" spans="1:13" ht="15" customHeight="1" x14ac:dyDescent="0.25">
      <c r="A292" s="49">
        <v>1982</v>
      </c>
      <c r="B292" s="330" t="s">
        <v>10</v>
      </c>
      <c r="C292" s="331">
        <v>3635367294</v>
      </c>
      <c r="D292" s="331">
        <v>1324789227</v>
      </c>
      <c r="E292" s="331">
        <v>45298691</v>
      </c>
      <c r="F292" s="331">
        <v>41375</v>
      </c>
      <c r="G292" s="370">
        <f t="shared" si="12"/>
        <v>1.1381243394109712E-5</v>
      </c>
      <c r="H292" s="370">
        <f t="shared" si="13"/>
        <v>3.1231383194211313E-5</v>
      </c>
      <c r="I292" s="331">
        <v>19152</v>
      </c>
      <c r="J292" s="331">
        <v>53947</v>
      </c>
      <c r="K292" s="331">
        <f t="shared" si="14"/>
        <v>-34795</v>
      </c>
      <c r="L292" s="199">
        <v>3.42</v>
      </c>
      <c r="M292" s="199">
        <v>2.0299999999999998</v>
      </c>
    </row>
    <row r="293" spans="1:13" ht="15" customHeight="1" x14ac:dyDescent="0.25">
      <c r="A293" s="49">
        <v>1983</v>
      </c>
      <c r="B293" s="330" t="s">
        <v>10</v>
      </c>
      <c r="C293" s="331">
        <v>3872290511</v>
      </c>
      <c r="D293" s="331">
        <v>1459866644</v>
      </c>
      <c r="E293" s="331">
        <v>51578894</v>
      </c>
      <c r="F293" s="331">
        <v>30081</v>
      </c>
      <c r="G293" s="370">
        <f t="shared" si="12"/>
        <v>7.7682704628046445E-6</v>
      </c>
      <c r="H293" s="370">
        <f t="shared" si="13"/>
        <v>2.0605306740606643E-5</v>
      </c>
      <c r="I293" s="331">
        <v>36865</v>
      </c>
      <c r="J293" s="331">
        <v>44202</v>
      </c>
      <c r="K293" s="331">
        <f t="shared" si="14"/>
        <v>-7337</v>
      </c>
      <c r="L293" s="199">
        <v>3.53</v>
      </c>
      <c r="M293" s="199">
        <v>2.0299999999999998</v>
      </c>
    </row>
    <row r="294" spans="1:13" ht="15" customHeight="1" x14ac:dyDescent="0.25">
      <c r="A294" s="49">
        <v>1984</v>
      </c>
      <c r="B294" s="330" t="s">
        <v>10</v>
      </c>
      <c r="C294" s="331">
        <v>4164154021</v>
      </c>
      <c r="D294" s="331">
        <v>1670904392</v>
      </c>
      <c r="E294" s="331">
        <v>59257642</v>
      </c>
      <c r="F294" s="331">
        <v>29915</v>
      </c>
      <c r="G294" s="370">
        <f t="shared" si="12"/>
        <v>7.1839321622441017E-6</v>
      </c>
      <c r="H294" s="370">
        <f t="shared" si="13"/>
        <v>1.7903477986668673E-5</v>
      </c>
      <c r="I294" s="331">
        <v>30079</v>
      </c>
      <c r="J294" s="331">
        <v>0</v>
      </c>
      <c r="K294" s="331">
        <f t="shared" si="14"/>
        <v>30079</v>
      </c>
      <c r="L294" s="199">
        <v>3.55</v>
      </c>
      <c r="M294" s="199">
        <v>2.0299999999999998</v>
      </c>
    </row>
    <row r="295" spans="1:13" ht="15" customHeight="1" x14ac:dyDescent="0.25">
      <c r="A295" s="49">
        <v>1985</v>
      </c>
      <c r="B295" s="330" t="s">
        <v>10</v>
      </c>
      <c r="C295" s="331">
        <v>4527496724</v>
      </c>
      <c r="D295" s="331">
        <v>1784572367</v>
      </c>
      <c r="E295" s="331">
        <v>57372500</v>
      </c>
      <c r="F295" s="331">
        <v>22923</v>
      </c>
      <c r="G295" s="370">
        <f t="shared" si="12"/>
        <v>5.0630627469008416E-6</v>
      </c>
      <c r="H295" s="370">
        <f t="shared" si="13"/>
        <v>1.2845094109876464E-5</v>
      </c>
      <c r="I295" s="331">
        <v>70215</v>
      </c>
      <c r="J295" s="331">
        <v>0</v>
      </c>
      <c r="K295" s="331">
        <f t="shared" si="14"/>
        <v>70215</v>
      </c>
      <c r="L295" s="199">
        <v>3.21</v>
      </c>
      <c r="M295" s="199">
        <v>2.0299999999999998</v>
      </c>
    </row>
    <row r="296" spans="1:13" ht="15" customHeight="1" x14ac:dyDescent="0.25">
      <c r="A296" s="49">
        <v>1986</v>
      </c>
      <c r="B296" s="330" t="s">
        <v>10</v>
      </c>
      <c r="C296" s="331">
        <v>4772538116</v>
      </c>
      <c r="D296" s="331">
        <v>1918272502</v>
      </c>
      <c r="E296" s="331">
        <v>58729002</v>
      </c>
      <c r="F296" s="331">
        <v>44139</v>
      </c>
      <c r="G296" s="370">
        <f t="shared" si="12"/>
        <v>9.2485379743795846E-6</v>
      </c>
      <c r="H296" s="370">
        <f t="shared" si="13"/>
        <v>2.3009765272650506E-5</v>
      </c>
      <c r="I296" s="331">
        <v>93966</v>
      </c>
      <c r="J296" s="331">
        <v>0</v>
      </c>
      <c r="K296" s="331">
        <f t="shared" si="14"/>
        <v>93966</v>
      </c>
      <c r="L296" s="199">
        <v>3.06</v>
      </c>
      <c r="M296" s="199">
        <v>2.0299999999999998</v>
      </c>
    </row>
    <row r="297" spans="1:13" ht="15" customHeight="1" x14ac:dyDescent="0.25">
      <c r="A297" s="49">
        <v>1987</v>
      </c>
      <c r="B297" s="330" t="s">
        <v>10</v>
      </c>
      <c r="C297" s="331">
        <v>5364215386</v>
      </c>
      <c r="D297" s="331">
        <v>2098333490</v>
      </c>
      <c r="E297" s="331">
        <v>61699142</v>
      </c>
      <c r="F297" s="331">
        <v>24753</v>
      </c>
      <c r="G297" s="370">
        <f t="shared" si="12"/>
        <v>4.6144679545498024E-6</v>
      </c>
      <c r="H297" s="370">
        <f t="shared" si="13"/>
        <v>1.179650428207196E-5</v>
      </c>
      <c r="I297" s="331">
        <v>140592</v>
      </c>
      <c r="J297" s="331">
        <v>0</v>
      </c>
      <c r="K297" s="331">
        <f t="shared" si="14"/>
        <v>140592</v>
      </c>
      <c r="L297" s="199">
        <v>2.94</v>
      </c>
      <c r="M297" s="199">
        <v>2.0299999999999998</v>
      </c>
    </row>
    <row r="298" spans="1:13" ht="15" customHeight="1" x14ac:dyDescent="0.25">
      <c r="A298" s="49">
        <v>1988</v>
      </c>
      <c r="B298" s="330" t="s">
        <v>10</v>
      </c>
      <c r="C298" s="331">
        <v>5902484624</v>
      </c>
      <c r="D298" s="331">
        <v>2250254011</v>
      </c>
      <c r="E298" s="331">
        <v>56564075</v>
      </c>
      <c r="F298" s="331">
        <v>41248</v>
      </c>
      <c r="G298" s="370">
        <f t="shared" si="12"/>
        <v>6.9882435326103442E-6</v>
      </c>
      <c r="H298" s="370">
        <f t="shared" si="13"/>
        <v>1.8330375059155932E-5</v>
      </c>
      <c r="I298" s="331">
        <v>169741</v>
      </c>
      <c r="J298" s="331">
        <v>0</v>
      </c>
      <c r="K298" s="331">
        <f t="shared" si="14"/>
        <v>169741</v>
      </c>
      <c r="L298" s="199">
        <v>2.5099999999999998</v>
      </c>
      <c r="M298" s="199">
        <v>2.0299999999999998</v>
      </c>
    </row>
    <row r="299" spans="1:13" ht="15" customHeight="1" x14ac:dyDescent="0.25">
      <c r="A299" s="49">
        <v>1989</v>
      </c>
      <c r="B299" s="330" t="s">
        <v>10</v>
      </c>
      <c r="C299" s="331">
        <v>6473360228</v>
      </c>
      <c r="D299" s="331">
        <v>2343165804</v>
      </c>
      <c r="E299" s="331">
        <v>53864107</v>
      </c>
      <c r="F299" s="331">
        <v>34180</v>
      </c>
      <c r="G299" s="370">
        <f t="shared" si="12"/>
        <v>5.2801016467702747E-6</v>
      </c>
      <c r="H299" s="370">
        <f t="shared" si="13"/>
        <v>1.4587102603516828E-5</v>
      </c>
      <c r="I299" s="331">
        <v>207322</v>
      </c>
      <c r="J299" s="331">
        <v>0</v>
      </c>
      <c r="K299" s="331">
        <f t="shared" si="14"/>
        <v>207322</v>
      </c>
      <c r="L299" s="199">
        <v>2.2999999999999998</v>
      </c>
      <c r="M299" s="199">
        <v>2.0299999999999998</v>
      </c>
    </row>
    <row r="300" spans="1:13" ht="15" customHeight="1" x14ac:dyDescent="0.25">
      <c r="A300" s="49">
        <v>1990</v>
      </c>
      <c r="B300" s="330" t="s">
        <v>10</v>
      </c>
      <c r="C300" s="331">
        <v>6828861966</v>
      </c>
      <c r="D300" s="331">
        <v>2372083831</v>
      </c>
      <c r="E300" s="331">
        <v>46787982</v>
      </c>
      <c r="F300" s="331">
        <v>43027</v>
      </c>
      <c r="G300" s="370">
        <f t="shared" si="12"/>
        <v>6.3007570242634483E-6</v>
      </c>
      <c r="H300" s="370">
        <f t="shared" si="13"/>
        <v>1.813890362460803E-5</v>
      </c>
      <c r="I300" s="331">
        <v>232197</v>
      </c>
      <c r="J300" s="331">
        <v>0</v>
      </c>
      <c r="K300" s="331">
        <f t="shared" si="14"/>
        <v>232197</v>
      </c>
      <c r="L300" s="199">
        <v>1.97</v>
      </c>
      <c r="M300" s="199">
        <v>2.0299999999999998</v>
      </c>
    </row>
    <row r="301" spans="1:13" ht="15" customHeight="1" x14ac:dyDescent="0.25">
      <c r="A301" s="49">
        <v>1991</v>
      </c>
      <c r="B301" s="330" t="s">
        <v>10</v>
      </c>
      <c r="C301" s="331">
        <v>6993370642</v>
      </c>
      <c r="D301" s="331">
        <v>2331182456</v>
      </c>
      <c r="E301" s="331">
        <v>46849181</v>
      </c>
      <c r="F301" s="331">
        <v>73501</v>
      </c>
      <c r="G301" s="370">
        <f t="shared" si="12"/>
        <v>1.0510096456003054E-5</v>
      </c>
      <c r="H301" s="370">
        <f t="shared" si="13"/>
        <v>3.1529492601843772E-5</v>
      </c>
      <c r="I301" s="331">
        <v>223685</v>
      </c>
      <c r="J301" s="331">
        <v>0</v>
      </c>
      <c r="K301" s="331">
        <f t="shared" si="14"/>
        <v>223685</v>
      </c>
      <c r="L301" s="199">
        <v>2.0099999999999998</v>
      </c>
      <c r="M301" s="199">
        <v>2.0299999999999998</v>
      </c>
    </row>
    <row r="302" spans="1:13" ht="15" customHeight="1" x14ac:dyDescent="0.25">
      <c r="A302" s="49">
        <v>1992</v>
      </c>
      <c r="B302" s="330" t="s">
        <v>10</v>
      </c>
      <c r="C302" s="331">
        <v>7183683486</v>
      </c>
      <c r="D302" s="331">
        <v>2321652671</v>
      </c>
      <c r="E302" s="331">
        <v>51082954</v>
      </c>
      <c r="F302" s="331">
        <v>70298</v>
      </c>
      <c r="G302" s="370">
        <f t="shared" si="12"/>
        <v>9.7857874914730069E-6</v>
      </c>
      <c r="H302" s="370">
        <f t="shared" si="13"/>
        <v>3.027929236707087E-5</v>
      </c>
      <c r="I302" s="331">
        <v>218719</v>
      </c>
      <c r="J302" s="331">
        <v>0</v>
      </c>
      <c r="K302" s="331">
        <f t="shared" si="14"/>
        <v>218719</v>
      </c>
      <c r="L302" s="199">
        <v>2.2000000000000002</v>
      </c>
      <c r="M302" s="199">
        <v>2.0299999999999998</v>
      </c>
    </row>
    <row r="303" spans="1:13" ht="15" customHeight="1" x14ac:dyDescent="0.25">
      <c r="A303" s="49">
        <v>1993</v>
      </c>
      <c r="B303" s="330" t="s">
        <v>10</v>
      </c>
      <c r="C303" s="331">
        <v>7397931961</v>
      </c>
      <c r="D303" s="331">
        <v>2364861730</v>
      </c>
      <c r="E303" s="331">
        <v>56838603</v>
      </c>
      <c r="F303" s="331">
        <v>63296</v>
      </c>
      <c r="G303" s="370">
        <f t="shared" si="12"/>
        <v>8.5559045870765348E-6</v>
      </c>
      <c r="H303" s="370">
        <f t="shared" si="13"/>
        <v>2.6765201194236417E-5</v>
      </c>
      <c r="I303" s="331">
        <v>225943</v>
      </c>
      <c r="J303" s="331">
        <v>0</v>
      </c>
      <c r="K303" s="331">
        <f t="shared" si="14"/>
        <v>225943</v>
      </c>
      <c r="L303" s="199">
        <v>2.4</v>
      </c>
      <c r="M303" s="199">
        <v>2.0299999999999998</v>
      </c>
    </row>
    <row r="304" spans="1:13" ht="15" customHeight="1" x14ac:dyDescent="0.25">
      <c r="A304" s="49">
        <v>1994</v>
      </c>
      <c r="B304" s="330" t="s">
        <v>10</v>
      </c>
      <c r="C304" s="331">
        <v>7760402821</v>
      </c>
      <c r="D304" s="331">
        <v>2434711712</v>
      </c>
      <c r="E304" s="331">
        <v>64396616</v>
      </c>
      <c r="F304" s="331">
        <v>58674</v>
      </c>
      <c r="G304" s="370">
        <f t="shared" si="12"/>
        <v>7.5606899993935249E-6</v>
      </c>
      <c r="H304" s="370">
        <f t="shared" si="13"/>
        <v>2.4098951720161601E-5</v>
      </c>
      <c r="I304" s="331">
        <v>244013</v>
      </c>
      <c r="J304" s="331">
        <v>0</v>
      </c>
      <c r="K304" s="331">
        <f t="shared" si="14"/>
        <v>244013</v>
      </c>
      <c r="L304" s="199">
        <v>2.64</v>
      </c>
      <c r="M304" s="199">
        <v>2.0299999999999998</v>
      </c>
    </row>
    <row r="305" spans="1:13" ht="15" customHeight="1" x14ac:dyDescent="0.25">
      <c r="A305" s="49">
        <v>1995</v>
      </c>
      <c r="B305" s="330" t="s">
        <v>10</v>
      </c>
      <c r="C305" s="331">
        <v>8385086136</v>
      </c>
      <c r="D305" s="331">
        <v>2563830274</v>
      </c>
      <c r="E305" s="331">
        <v>72223206</v>
      </c>
      <c r="F305" s="331">
        <v>60232</v>
      </c>
      <c r="G305" s="370">
        <f t="shared" si="12"/>
        <v>7.1832297275282276E-6</v>
      </c>
      <c r="H305" s="370">
        <f t="shared" si="13"/>
        <v>2.3492974792761184E-5</v>
      </c>
      <c r="I305" s="331">
        <v>271807</v>
      </c>
      <c r="J305" s="331">
        <v>0</v>
      </c>
      <c r="K305" s="331">
        <f t="shared" si="14"/>
        <v>271807</v>
      </c>
      <c r="L305" s="199">
        <v>2.82</v>
      </c>
      <c r="M305" s="199">
        <v>1.63</v>
      </c>
    </row>
    <row r="306" spans="1:13" ht="15" customHeight="1" x14ac:dyDescent="0.25">
      <c r="A306" s="49">
        <v>1996</v>
      </c>
      <c r="B306" s="330" t="s">
        <v>10</v>
      </c>
      <c r="C306" s="331">
        <v>9120216031</v>
      </c>
      <c r="D306" s="331">
        <v>2734130197</v>
      </c>
      <c r="E306" s="331">
        <v>66094705</v>
      </c>
      <c r="F306" s="331">
        <v>96445</v>
      </c>
      <c r="G306" s="370">
        <f t="shared" si="12"/>
        <v>1.0574859155987025E-5</v>
      </c>
      <c r="H306" s="370">
        <f t="shared" si="13"/>
        <v>3.5274472337061128E-5</v>
      </c>
      <c r="I306" s="331">
        <v>258468</v>
      </c>
      <c r="J306" s="331">
        <v>0</v>
      </c>
      <c r="K306" s="331">
        <f t="shared" si="14"/>
        <v>258468</v>
      </c>
      <c r="L306" s="199">
        <v>2.42</v>
      </c>
      <c r="M306" s="199">
        <v>1.45</v>
      </c>
    </row>
    <row r="307" spans="1:13" ht="15" customHeight="1" x14ac:dyDescent="0.25">
      <c r="A307" s="49">
        <v>1997</v>
      </c>
      <c r="B307" s="330" t="s">
        <v>10</v>
      </c>
      <c r="C307" s="331">
        <v>9939319193</v>
      </c>
      <c r="D307" s="331">
        <v>2841603801</v>
      </c>
      <c r="E307" s="331">
        <v>67703566</v>
      </c>
      <c r="F307" s="331">
        <v>64287</v>
      </c>
      <c r="G307" s="370">
        <f t="shared" si="12"/>
        <v>6.4679480306131666E-6</v>
      </c>
      <c r="H307" s="370">
        <f t="shared" si="13"/>
        <v>2.2623491697673161E-5</v>
      </c>
      <c r="I307" s="331">
        <v>279173</v>
      </c>
      <c r="J307" s="331">
        <v>0</v>
      </c>
      <c r="K307" s="331">
        <f t="shared" si="14"/>
        <v>279173</v>
      </c>
      <c r="L307" s="199">
        <v>2.38</v>
      </c>
      <c r="M307" s="199">
        <v>1.32</v>
      </c>
    </row>
    <row r="308" spans="1:13" ht="15" customHeight="1" x14ac:dyDescent="0.25">
      <c r="A308" s="49">
        <v>1998</v>
      </c>
      <c r="B308" s="330" t="s">
        <v>10</v>
      </c>
      <c r="C308" s="331">
        <v>10832914536</v>
      </c>
      <c r="D308" s="331">
        <v>2964729218</v>
      </c>
      <c r="E308" s="331">
        <v>60415995</v>
      </c>
      <c r="F308" s="331">
        <v>62322</v>
      </c>
      <c r="G308" s="370">
        <f t="shared" si="12"/>
        <v>5.7530224015791131E-6</v>
      </c>
      <c r="H308" s="370">
        <f t="shared" si="13"/>
        <v>2.1021144063214748E-5</v>
      </c>
      <c r="I308" s="331">
        <v>293291</v>
      </c>
      <c r="J308" s="331">
        <v>0</v>
      </c>
      <c r="K308" s="331">
        <f t="shared" si="14"/>
        <v>293291</v>
      </c>
      <c r="L308" s="199">
        <v>2.04</v>
      </c>
      <c r="M308" s="199">
        <v>1.32</v>
      </c>
    </row>
    <row r="309" spans="1:13" ht="15" customHeight="1" x14ac:dyDescent="0.25">
      <c r="A309" s="49">
        <v>1999</v>
      </c>
      <c r="B309" s="330" t="s">
        <v>10</v>
      </c>
      <c r="C309" s="331">
        <v>11647036256</v>
      </c>
      <c r="D309" s="331">
        <v>3117857217</v>
      </c>
      <c r="E309" s="331">
        <v>64296635</v>
      </c>
      <c r="F309" s="331">
        <v>52978</v>
      </c>
      <c r="G309" s="370">
        <f t="shared" si="12"/>
        <v>4.5486249751054264E-6</v>
      </c>
      <c r="H309" s="370">
        <f t="shared" si="13"/>
        <v>1.6991797992268354E-5</v>
      </c>
      <c r="I309" s="331">
        <v>320040</v>
      </c>
      <c r="J309" s="331">
        <v>0</v>
      </c>
      <c r="K309" s="331">
        <f t="shared" si="14"/>
        <v>320040</v>
      </c>
      <c r="L309" s="199">
        <v>2.06</v>
      </c>
      <c r="M309" s="199">
        <v>1.32</v>
      </c>
    </row>
    <row r="310" spans="1:13" ht="15" customHeight="1" x14ac:dyDescent="0.25">
      <c r="A310" s="49">
        <v>2000</v>
      </c>
      <c r="B310" s="330" t="s">
        <v>10</v>
      </c>
      <c r="C310" s="331">
        <v>12260776215</v>
      </c>
      <c r="D310" s="331">
        <v>3183295760</v>
      </c>
      <c r="E310" s="331">
        <v>58890843</v>
      </c>
      <c r="F310" s="331">
        <v>71004</v>
      </c>
      <c r="G310" s="370">
        <f t="shared" si="12"/>
        <v>5.791150474888592E-6</v>
      </c>
      <c r="H310" s="370">
        <f t="shared" si="13"/>
        <v>2.2305184737217129E-5</v>
      </c>
      <c r="I310" s="331">
        <v>329857</v>
      </c>
      <c r="J310" s="331">
        <v>0</v>
      </c>
      <c r="K310" s="331">
        <f t="shared" si="14"/>
        <v>329857</v>
      </c>
      <c r="L310" s="199">
        <v>1.85</v>
      </c>
      <c r="M310" s="199">
        <v>1.32</v>
      </c>
    </row>
    <row r="311" spans="1:13" ht="15" customHeight="1" x14ac:dyDescent="0.25">
      <c r="A311" s="49">
        <v>2001</v>
      </c>
      <c r="B311" s="330" t="s">
        <v>10</v>
      </c>
      <c r="C311" s="331">
        <v>12914868693</v>
      </c>
      <c r="D311" s="331">
        <v>3144961782</v>
      </c>
      <c r="E311" s="331">
        <v>52671318</v>
      </c>
      <c r="F311" s="331">
        <v>90282</v>
      </c>
      <c r="G311" s="370">
        <f t="shared" si="12"/>
        <v>6.9905472634757668E-6</v>
      </c>
      <c r="H311" s="370">
        <f t="shared" si="13"/>
        <v>2.8706867128473107E-5</v>
      </c>
      <c r="I311" s="331">
        <v>312480</v>
      </c>
      <c r="J311" s="331">
        <v>0</v>
      </c>
      <c r="K311" s="331">
        <f t="shared" si="14"/>
        <v>312480</v>
      </c>
      <c r="L311" s="199">
        <v>1.67</v>
      </c>
      <c r="M311" s="199">
        <v>1.21</v>
      </c>
    </row>
    <row r="312" spans="1:13" ht="15" customHeight="1" x14ac:dyDescent="0.25">
      <c r="A312" s="49">
        <v>2002</v>
      </c>
      <c r="B312" s="330" t="s">
        <v>10</v>
      </c>
      <c r="C312" s="331">
        <v>12909385366</v>
      </c>
      <c r="D312" s="331">
        <v>3075113921</v>
      </c>
      <c r="E312" s="331">
        <v>49750627</v>
      </c>
      <c r="F312" s="331">
        <v>112788</v>
      </c>
      <c r="G312" s="370">
        <f t="shared" si="12"/>
        <v>8.7368993025070411E-6</v>
      </c>
      <c r="H312" s="370">
        <f t="shared" si="13"/>
        <v>3.667766557517399E-5</v>
      </c>
      <c r="I312" s="331">
        <v>294466</v>
      </c>
      <c r="J312" s="331">
        <v>0</v>
      </c>
      <c r="K312" s="331">
        <f t="shared" si="14"/>
        <v>294466</v>
      </c>
      <c r="L312" s="199">
        <v>1.62</v>
      </c>
      <c r="M312" s="199">
        <v>1.21</v>
      </c>
    </row>
    <row r="313" spans="1:13" ht="15" customHeight="1" x14ac:dyDescent="0.25">
      <c r="A313" s="49">
        <v>2003</v>
      </c>
      <c r="B313" s="330" t="s">
        <v>10</v>
      </c>
      <c r="C313" s="331">
        <v>13270133675</v>
      </c>
      <c r="D313" s="331">
        <v>3069977783</v>
      </c>
      <c r="E313" s="331">
        <v>54993282</v>
      </c>
      <c r="F313" s="331">
        <v>123709</v>
      </c>
      <c r="G313" s="370">
        <f t="shared" si="12"/>
        <v>9.3223627605996963E-6</v>
      </c>
      <c r="H313" s="370">
        <f t="shared" si="13"/>
        <v>4.0296382822389954E-5</v>
      </c>
      <c r="I313" s="331">
        <v>239422</v>
      </c>
      <c r="J313" s="331">
        <v>0</v>
      </c>
      <c r="K313" s="331">
        <f t="shared" si="14"/>
        <v>239422</v>
      </c>
      <c r="L313" s="199">
        <v>1.79</v>
      </c>
      <c r="M313" s="199">
        <v>1.21</v>
      </c>
    </row>
    <row r="314" spans="1:13" ht="15" customHeight="1" x14ac:dyDescent="0.25">
      <c r="A314" s="49">
        <v>2004</v>
      </c>
      <c r="B314" s="330" t="s">
        <v>10</v>
      </c>
      <c r="C314" s="331">
        <v>14067068427</v>
      </c>
      <c r="D314" s="331">
        <v>3197893116</v>
      </c>
      <c r="E314" s="331">
        <v>66355151</v>
      </c>
      <c r="F314" s="331">
        <v>100414</v>
      </c>
      <c r="G314" s="370">
        <f t="shared" si="12"/>
        <v>7.1382321427588801E-6</v>
      </c>
      <c r="H314" s="370">
        <f t="shared" si="13"/>
        <v>3.1400048831400658E-5</v>
      </c>
      <c r="I314" s="331">
        <v>212894</v>
      </c>
      <c r="J314" s="331">
        <v>0</v>
      </c>
      <c r="K314" s="331">
        <f t="shared" si="14"/>
        <v>212894</v>
      </c>
      <c r="L314" s="199">
        <v>2.0699999999999998</v>
      </c>
      <c r="M314" s="199">
        <v>1.21</v>
      </c>
    </row>
    <row r="315" spans="1:13" ht="15" customHeight="1" x14ac:dyDescent="0.25">
      <c r="A315" s="49">
        <v>2005</v>
      </c>
      <c r="B315" s="330" t="s">
        <v>10</v>
      </c>
      <c r="C315" s="331">
        <v>15019939218</v>
      </c>
      <c r="D315" s="331">
        <v>3249849215</v>
      </c>
      <c r="E315" s="331">
        <v>74424406</v>
      </c>
      <c r="F315" s="331">
        <v>94035</v>
      </c>
      <c r="G315" s="370">
        <f t="shared" si="12"/>
        <v>6.2606777987029266E-6</v>
      </c>
      <c r="H315" s="370">
        <f t="shared" si="13"/>
        <v>2.8935188613050776E-5</v>
      </c>
      <c r="I315" s="331">
        <v>201780</v>
      </c>
      <c r="J315" s="331">
        <v>0</v>
      </c>
      <c r="K315" s="331">
        <f t="shared" si="14"/>
        <v>201780</v>
      </c>
      <c r="L315" s="199">
        <v>2.2799999999999998</v>
      </c>
      <c r="M315" s="199">
        <v>1.21</v>
      </c>
    </row>
    <row r="316" spans="1:13" x14ac:dyDescent="0.25">
      <c r="A316" s="49">
        <v>2006</v>
      </c>
      <c r="B316" s="330" t="s">
        <v>10</v>
      </c>
      <c r="C316" s="331">
        <v>15673328645</v>
      </c>
      <c r="D316" s="331">
        <v>3345744273</v>
      </c>
      <c r="E316" s="331">
        <v>81553656</v>
      </c>
      <c r="F316" s="331">
        <v>91078</v>
      </c>
      <c r="G316" s="370">
        <f t="shared" si="12"/>
        <v>5.8110183269241338E-6</v>
      </c>
      <c r="H316" s="370">
        <f t="shared" si="13"/>
        <v>2.7222044653859293E-5</v>
      </c>
      <c r="I316" s="331">
        <v>192477</v>
      </c>
      <c r="J316" s="331">
        <v>0</v>
      </c>
      <c r="K316" s="331">
        <f t="shared" si="14"/>
        <v>192477</v>
      </c>
      <c r="L316" s="199">
        <v>2.44</v>
      </c>
      <c r="M316" s="199">
        <v>1.21</v>
      </c>
    </row>
    <row r="317" spans="1:13" ht="15" customHeight="1" x14ac:dyDescent="0.25">
      <c r="A317" s="49">
        <v>2007</v>
      </c>
      <c r="B317" s="330" t="s">
        <v>10</v>
      </c>
      <c r="C317" s="331">
        <v>15922348463</v>
      </c>
      <c r="D317" s="331">
        <v>3321267212</v>
      </c>
      <c r="E317" s="331">
        <v>72846385</v>
      </c>
      <c r="F317" s="331">
        <v>102050</v>
      </c>
      <c r="G317" s="370">
        <f t="shared" si="12"/>
        <v>6.40923041203008E-6</v>
      </c>
      <c r="H317" s="370">
        <f t="shared" si="13"/>
        <v>3.0726223903721237E-5</v>
      </c>
      <c r="I317" s="331">
        <v>174156</v>
      </c>
      <c r="J317" s="331">
        <v>0</v>
      </c>
      <c r="K317" s="331">
        <f t="shared" si="14"/>
        <v>174156</v>
      </c>
      <c r="L317" s="199">
        <v>2.19</v>
      </c>
      <c r="M317" s="199">
        <v>1.21</v>
      </c>
    </row>
    <row r="318" spans="1:13" ht="15" customHeight="1" x14ac:dyDescent="0.25">
      <c r="A318" s="49">
        <v>2008</v>
      </c>
      <c r="B318" s="330" t="s">
        <v>10</v>
      </c>
      <c r="C318" s="331">
        <v>15829315621</v>
      </c>
      <c r="D318" s="331">
        <v>3844145667</v>
      </c>
      <c r="E318" s="331">
        <v>75239351</v>
      </c>
      <c r="F318" s="331">
        <v>125001</v>
      </c>
      <c r="G318" s="370">
        <f t="shared" si="12"/>
        <v>7.8968038159632826E-6</v>
      </c>
      <c r="H318" s="370">
        <f t="shared" si="13"/>
        <v>3.2517238114327681E-5</v>
      </c>
      <c r="I318" s="331">
        <v>131380</v>
      </c>
      <c r="J318" s="331">
        <v>0</v>
      </c>
      <c r="K318" s="331">
        <f t="shared" si="14"/>
        <v>131380</v>
      </c>
      <c r="L318" s="199">
        <v>2</v>
      </c>
      <c r="M318" s="199">
        <v>1.21</v>
      </c>
    </row>
    <row r="319" spans="1:13" ht="15" customHeight="1" x14ac:dyDescent="0.25">
      <c r="A319" s="49">
        <v>2009</v>
      </c>
      <c r="B319" s="330" t="s">
        <v>10</v>
      </c>
      <c r="C319" s="331">
        <v>14778218224</v>
      </c>
      <c r="D319" s="331">
        <v>3561901452</v>
      </c>
      <c r="E319" s="331">
        <v>72574353</v>
      </c>
      <c r="F319" s="331">
        <v>200231</v>
      </c>
      <c r="G319" s="370">
        <f t="shared" si="12"/>
        <v>1.3549062340602233E-5</v>
      </c>
      <c r="H319" s="370">
        <f t="shared" si="13"/>
        <v>5.6214637799024655E-5</v>
      </c>
      <c r="I319" s="331">
        <v>38828</v>
      </c>
      <c r="J319" s="331">
        <v>0</v>
      </c>
      <c r="K319" s="331">
        <f t="shared" si="14"/>
        <v>38828</v>
      </c>
      <c r="L319" s="199">
        <v>2</v>
      </c>
      <c r="M319" s="199">
        <v>1.1499999999999999</v>
      </c>
    </row>
    <row r="320" spans="1:13" ht="15" customHeight="1" x14ac:dyDescent="0.25">
      <c r="A320" s="49">
        <v>2010</v>
      </c>
      <c r="B320" s="330" t="s">
        <v>10</v>
      </c>
      <c r="C320" s="331">
        <v>15019395013</v>
      </c>
      <c r="D320" s="331">
        <v>3527707368</v>
      </c>
      <c r="E320" s="331">
        <v>83184037</v>
      </c>
      <c r="F320" s="331">
        <v>146740</v>
      </c>
      <c r="G320" s="370">
        <f t="shared" si="12"/>
        <v>9.7700340042318318E-6</v>
      </c>
      <c r="H320" s="370">
        <f t="shared" si="13"/>
        <v>4.1596420760714301E-5</v>
      </c>
      <c r="I320" s="331">
        <v>1304</v>
      </c>
      <c r="J320" s="331">
        <v>32403</v>
      </c>
      <c r="K320" s="331">
        <f t="shared" si="14"/>
        <v>-31099</v>
      </c>
      <c r="L320" s="199">
        <v>2.4</v>
      </c>
      <c r="M320" s="199">
        <v>1.1499999999999999</v>
      </c>
    </row>
    <row r="321" spans="1:13" ht="15" customHeight="1" x14ac:dyDescent="0.25">
      <c r="A321" s="49">
        <v>2011</v>
      </c>
      <c r="B321" s="330" t="s">
        <v>10</v>
      </c>
      <c r="C321" s="331">
        <v>15733234412</v>
      </c>
      <c r="D321" s="331">
        <v>3602754010</v>
      </c>
      <c r="E321" s="331">
        <v>98820808</v>
      </c>
      <c r="F321" s="331">
        <v>120052</v>
      </c>
      <c r="G321" s="370">
        <f t="shared" si="12"/>
        <v>7.6304717044344253E-6</v>
      </c>
      <c r="H321" s="370">
        <f t="shared" si="13"/>
        <v>3.3322286136321584E-5</v>
      </c>
      <c r="I321" s="331">
        <v>4482</v>
      </c>
      <c r="J321" s="331">
        <v>62523</v>
      </c>
      <c r="K321" s="331">
        <f t="shared" si="14"/>
        <v>-58041</v>
      </c>
      <c r="L321" s="199">
        <v>2.7</v>
      </c>
      <c r="M321" s="199">
        <v>1.1499999999999999</v>
      </c>
    </row>
    <row r="322" spans="1:13" ht="15" customHeight="1" x14ac:dyDescent="0.25">
      <c r="A322" s="49">
        <v>2012</v>
      </c>
      <c r="B322" s="330" t="s">
        <v>10</v>
      </c>
      <c r="C322" s="331">
        <v>16094193415</v>
      </c>
      <c r="D322" s="331">
        <v>3645005414</v>
      </c>
      <c r="E322" s="331">
        <v>105615513</v>
      </c>
      <c r="F322" s="331">
        <v>112875</v>
      </c>
      <c r="G322" s="370">
        <f t="shared" ref="G322:G385" si="15">F322/C322</f>
        <v>7.013398999840465E-6</v>
      </c>
      <c r="H322" s="370">
        <f t="shared" ref="H322:H385" si="16">F322/D322</f>
        <v>3.0967032193275088E-5</v>
      </c>
      <c r="I322" s="331">
        <v>6397</v>
      </c>
      <c r="J322" s="331">
        <v>76412</v>
      </c>
      <c r="K322" s="331">
        <f t="shared" ref="K322:K385" si="17">I322-J322</f>
        <v>-70015</v>
      </c>
      <c r="L322" s="199">
        <v>2.9</v>
      </c>
      <c r="M322" s="199">
        <v>1.1499999999999999</v>
      </c>
    </row>
    <row r="323" spans="1:13" ht="15" customHeight="1" x14ac:dyDescent="0.25">
      <c r="A323" s="49">
        <v>2013</v>
      </c>
      <c r="B323" s="330" t="s">
        <v>10</v>
      </c>
      <c r="C323" s="331">
        <v>16612344561</v>
      </c>
      <c r="D323" s="331">
        <v>3715528360</v>
      </c>
      <c r="E323" s="331">
        <v>101458579</v>
      </c>
      <c r="F323" s="331">
        <v>106871</v>
      </c>
      <c r="G323" s="370">
        <f t="shared" si="15"/>
        <v>6.433227989437198E-6</v>
      </c>
      <c r="H323" s="370">
        <f t="shared" si="16"/>
        <v>2.8763338520177519E-5</v>
      </c>
      <c r="I323" s="331">
        <v>24617</v>
      </c>
      <c r="J323" s="331">
        <v>71442</v>
      </c>
      <c r="K323" s="331">
        <f t="shared" si="17"/>
        <v>-46825</v>
      </c>
      <c r="L323" s="199">
        <v>2.73</v>
      </c>
      <c r="M323" s="199">
        <v>1.1499999999999999</v>
      </c>
    </row>
    <row r="324" spans="1:13" ht="15" customHeight="1" x14ac:dyDescent="0.25">
      <c r="A324" s="49">
        <v>2014</v>
      </c>
      <c r="B324" s="330" t="s">
        <v>10</v>
      </c>
      <c r="C324" s="331">
        <v>17400038710</v>
      </c>
      <c r="D324" s="331">
        <v>5826187685</v>
      </c>
      <c r="E324" s="331">
        <v>135327981</v>
      </c>
      <c r="F324" s="331">
        <v>78593</v>
      </c>
      <c r="G324" s="370">
        <f t="shared" si="15"/>
        <v>4.516829031813114E-6</v>
      </c>
      <c r="H324" s="370">
        <f t="shared" si="16"/>
        <v>1.3489610058794389E-5</v>
      </c>
      <c r="I324" s="331">
        <v>82232</v>
      </c>
      <c r="J324" s="331">
        <v>0</v>
      </c>
      <c r="K324" s="331">
        <f t="shared" si="17"/>
        <v>82232</v>
      </c>
      <c r="L324" s="333">
        <v>2.3227535451426156</v>
      </c>
      <c r="M324" s="199">
        <v>1.1499999999999999</v>
      </c>
    </row>
    <row r="325" spans="1:13" ht="15" customHeight="1" x14ac:dyDescent="0.25">
      <c r="A325" s="49">
        <v>2015</v>
      </c>
      <c r="B325" s="330" t="s">
        <v>10</v>
      </c>
      <c r="C325" s="334">
        <v>18076362000</v>
      </c>
      <c r="D325" s="334">
        <v>6101781000</v>
      </c>
      <c r="E325" s="334">
        <v>127412000</v>
      </c>
      <c r="F325" s="331">
        <v>70494</v>
      </c>
      <c r="G325" s="370">
        <f t="shared" si="15"/>
        <v>3.8997891279229749E-6</v>
      </c>
      <c r="H325" s="370">
        <f t="shared" si="16"/>
        <v>1.1553020339471377E-5</v>
      </c>
      <c r="I325" s="331">
        <v>72368</v>
      </c>
      <c r="J325" s="199">
        <v>0</v>
      </c>
      <c r="K325" s="331">
        <f t="shared" si="17"/>
        <v>72368</v>
      </c>
      <c r="L325" s="199">
        <v>2</v>
      </c>
      <c r="M325" s="199">
        <v>1.1599999999999999</v>
      </c>
    </row>
    <row r="326" spans="1:13" ht="15" customHeight="1" x14ac:dyDescent="0.25">
      <c r="A326" s="49">
        <v>1980</v>
      </c>
      <c r="B326" s="330" t="s">
        <v>11</v>
      </c>
      <c r="C326" s="331">
        <v>36483954445</v>
      </c>
      <c r="D326" s="331">
        <v>18297955890</v>
      </c>
      <c r="E326" s="331">
        <v>217442746</v>
      </c>
      <c r="F326" s="331">
        <v>153073</v>
      </c>
      <c r="G326" s="370">
        <f t="shared" si="15"/>
        <v>4.1956252365888511E-6</v>
      </c>
      <c r="H326" s="370">
        <f t="shared" si="16"/>
        <v>8.3655792439447172E-6</v>
      </c>
      <c r="I326" s="331">
        <v>812740</v>
      </c>
      <c r="J326" s="331">
        <v>0</v>
      </c>
      <c r="K326" s="331">
        <f t="shared" si="17"/>
        <v>812740</v>
      </c>
      <c r="L326" s="199">
        <v>1.19</v>
      </c>
      <c r="M326" s="199">
        <v>1.41</v>
      </c>
    </row>
    <row r="327" spans="1:13" ht="15" customHeight="1" x14ac:dyDescent="0.25">
      <c r="A327" s="49">
        <v>1981</v>
      </c>
      <c r="B327" s="330" t="s">
        <v>11</v>
      </c>
      <c r="C327" s="331">
        <v>41658855333</v>
      </c>
      <c r="D327" s="331">
        <v>19575578563</v>
      </c>
      <c r="E327" s="331">
        <v>189132893</v>
      </c>
      <c r="F327" s="331">
        <v>170265</v>
      </c>
      <c r="G327" s="370">
        <f t="shared" si="15"/>
        <v>4.0871262217597423E-6</v>
      </c>
      <c r="H327" s="370">
        <f t="shared" si="16"/>
        <v>8.6978272162959012E-6</v>
      </c>
      <c r="I327" s="331">
        <v>919390</v>
      </c>
      <c r="J327" s="331">
        <v>0</v>
      </c>
      <c r="K327" s="331">
        <f t="shared" si="17"/>
        <v>919390</v>
      </c>
      <c r="L327" s="199">
        <v>0.97</v>
      </c>
      <c r="M327" s="199">
        <v>1.32</v>
      </c>
    </row>
    <row r="328" spans="1:13" ht="15" customHeight="1" x14ac:dyDescent="0.25">
      <c r="A328" s="49">
        <v>1982</v>
      </c>
      <c r="B328" s="330" t="s">
        <v>11</v>
      </c>
      <c r="C328" s="331">
        <v>44565566359</v>
      </c>
      <c r="D328" s="331">
        <v>19633264871</v>
      </c>
      <c r="E328" s="331">
        <v>188370405</v>
      </c>
      <c r="F328" s="331">
        <v>335289</v>
      </c>
      <c r="G328" s="370">
        <f t="shared" si="15"/>
        <v>7.5234991360608732E-6</v>
      </c>
      <c r="H328" s="370">
        <f t="shared" si="16"/>
        <v>1.7077597750705761E-5</v>
      </c>
      <c r="I328" s="331">
        <v>865621</v>
      </c>
      <c r="J328" s="331">
        <v>0</v>
      </c>
      <c r="K328" s="331">
        <f t="shared" si="17"/>
        <v>865621</v>
      </c>
      <c r="L328" s="199">
        <v>0.96</v>
      </c>
      <c r="M328" s="199">
        <v>1.32</v>
      </c>
    </row>
    <row r="329" spans="1:13" ht="15" customHeight="1" x14ac:dyDescent="0.25">
      <c r="A329" s="49">
        <v>1983</v>
      </c>
      <c r="B329" s="330" t="s">
        <v>11</v>
      </c>
      <c r="C329" s="331">
        <v>48878542122</v>
      </c>
      <c r="D329" s="331">
        <v>22882794911</v>
      </c>
      <c r="E329" s="331">
        <v>270745967</v>
      </c>
      <c r="F329" s="331">
        <v>296816</v>
      </c>
      <c r="G329" s="370">
        <f t="shared" si="15"/>
        <v>6.0725215424623829E-6</v>
      </c>
      <c r="H329" s="370">
        <f t="shared" si="16"/>
        <v>1.2971142780173127E-5</v>
      </c>
      <c r="I329" s="331">
        <v>888142</v>
      </c>
      <c r="J329" s="331">
        <v>0</v>
      </c>
      <c r="K329" s="331">
        <f t="shared" si="17"/>
        <v>888142</v>
      </c>
      <c r="L329" s="199">
        <v>1.18</v>
      </c>
      <c r="M329" s="199">
        <v>1.32</v>
      </c>
    </row>
    <row r="330" spans="1:13" ht="15" customHeight="1" x14ac:dyDescent="0.25">
      <c r="A330" s="49">
        <v>1984</v>
      </c>
      <c r="B330" s="330" t="s">
        <v>11</v>
      </c>
      <c r="C330" s="331">
        <v>55222562041</v>
      </c>
      <c r="D330" s="331">
        <v>25182950765</v>
      </c>
      <c r="E330" s="331">
        <v>392104424</v>
      </c>
      <c r="F330" s="331">
        <v>221579</v>
      </c>
      <c r="G330" s="370">
        <f t="shared" si="15"/>
        <v>4.0124722905012743E-6</v>
      </c>
      <c r="H330" s="370">
        <f t="shared" si="16"/>
        <v>8.7987703294864457E-6</v>
      </c>
      <c r="I330" s="331">
        <v>1144319</v>
      </c>
      <c r="J330" s="331">
        <v>0</v>
      </c>
      <c r="K330" s="331">
        <f t="shared" si="17"/>
        <v>1144319</v>
      </c>
      <c r="L330" s="199">
        <v>1.56</v>
      </c>
      <c r="M330" s="199">
        <v>1.32</v>
      </c>
    </row>
    <row r="331" spans="1:13" ht="15" customHeight="1" x14ac:dyDescent="0.25">
      <c r="A331" s="49">
        <v>1985</v>
      </c>
      <c r="B331" s="330" t="s">
        <v>11</v>
      </c>
      <c r="C331" s="331">
        <v>60743403120</v>
      </c>
      <c r="D331" s="331">
        <v>26740319118</v>
      </c>
      <c r="E331" s="331">
        <v>358074611</v>
      </c>
      <c r="F331" s="331">
        <v>246475</v>
      </c>
      <c r="G331" s="370">
        <f t="shared" si="15"/>
        <v>4.0576422679691311E-6</v>
      </c>
      <c r="H331" s="370">
        <f t="shared" si="16"/>
        <v>9.2173544718128524E-6</v>
      </c>
      <c r="I331" s="331">
        <v>1385177</v>
      </c>
      <c r="J331" s="331">
        <v>0</v>
      </c>
      <c r="K331" s="331">
        <f t="shared" si="17"/>
        <v>1385177</v>
      </c>
      <c r="L331" s="199">
        <v>1.34</v>
      </c>
      <c r="M331" s="199">
        <v>1.32</v>
      </c>
    </row>
    <row r="332" spans="1:13" ht="15" customHeight="1" x14ac:dyDescent="0.25">
      <c r="A332" s="49">
        <v>1986</v>
      </c>
      <c r="B332" s="330" t="s">
        <v>11</v>
      </c>
      <c r="C332" s="331">
        <v>66058651153</v>
      </c>
      <c r="D332" s="331">
        <v>28272421768</v>
      </c>
      <c r="E332" s="331">
        <v>310876108</v>
      </c>
      <c r="F332" s="331">
        <v>290645</v>
      </c>
      <c r="G332" s="370">
        <f t="shared" si="15"/>
        <v>4.3998022201033175E-6</v>
      </c>
      <c r="H332" s="370">
        <f t="shared" si="16"/>
        <v>1.0280159315144523E-5</v>
      </c>
      <c r="I332" s="331">
        <v>1556921</v>
      </c>
      <c r="J332" s="331">
        <v>0</v>
      </c>
      <c r="K332" s="331">
        <f t="shared" si="17"/>
        <v>1556921</v>
      </c>
      <c r="L332" s="199">
        <v>1.1000000000000001</v>
      </c>
      <c r="M332" s="199">
        <v>1.32</v>
      </c>
    </row>
    <row r="333" spans="1:13" ht="15" customHeight="1" x14ac:dyDescent="0.25">
      <c r="A333" s="49">
        <v>1987</v>
      </c>
      <c r="B333" s="330" t="s">
        <v>11</v>
      </c>
      <c r="C333" s="331">
        <v>73317799314</v>
      </c>
      <c r="D333" s="331">
        <v>30186814175</v>
      </c>
      <c r="E333" s="331">
        <v>302492314</v>
      </c>
      <c r="F333" s="331">
        <v>261224</v>
      </c>
      <c r="G333" s="370">
        <f t="shared" si="15"/>
        <v>3.5629001749118155E-6</v>
      </c>
      <c r="H333" s="370">
        <f t="shared" si="16"/>
        <v>8.6535796220702042E-6</v>
      </c>
      <c r="I333" s="331">
        <v>1745391</v>
      </c>
      <c r="J333" s="331">
        <v>0</v>
      </c>
      <c r="K333" s="331">
        <f t="shared" si="17"/>
        <v>1745391</v>
      </c>
      <c r="L333" s="199">
        <v>1</v>
      </c>
      <c r="M333" s="199">
        <v>1.32</v>
      </c>
    </row>
    <row r="334" spans="1:13" ht="15" customHeight="1" x14ac:dyDescent="0.25">
      <c r="A334" s="49">
        <v>1988</v>
      </c>
      <c r="B334" s="330" t="s">
        <v>11</v>
      </c>
      <c r="C334" s="331">
        <v>80173272261</v>
      </c>
      <c r="D334" s="331">
        <v>31886434662</v>
      </c>
      <c r="E334" s="331">
        <v>291939157</v>
      </c>
      <c r="F334" s="331">
        <v>277145</v>
      </c>
      <c r="G334" s="370">
        <f t="shared" si="15"/>
        <v>3.4568253506950371E-6</v>
      </c>
      <c r="H334" s="370">
        <f t="shared" si="16"/>
        <v>8.6916271115842822E-6</v>
      </c>
      <c r="I334" s="331">
        <v>1910071</v>
      </c>
      <c r="J334" s="331">
        <v>0</v>
      </c>
      <c r="K334" s="331">
        <f t="shared" si="17"/>
        <v>1910071</v>
      </c>
      <c r="L334" s="199">
        <v>0.92</v>
      </c>
      <c r="M334" s="199">
        <v>1.32</v>
      </c>
    </row>
    <row r="335" spans="1:13" ht="15" customHeight="1" x14ac:dyDescent="0.25">
      <c r="A335" s="49">
        <v>1989</v>
      </c>
      <c r="B335" s="330" t="s">
        <v>11</v>
      </c>
      <c r="C335" s="331">
        <v>85088818548</v>
      </c>
      <c r="D335" s="331">
        <v>33180235307</v>
      </c>
      <c r="E335" s="331">
        <v>288520299</v>
      </c>
      <c r="F335" s="331">
        <v>278180</v>
      </c>
      <c r="G335" s="370">
        <f t="shared" si="15"/>
        <v>3.2692897227509874E-6</v>
      </c>
      <c r="H335" s="370">
        <f t="shared" si="16"/>
        <v>8.3839067874636993E-6</v>
      </c>
      <c r="I335" s="331">
        <v>2040608</v>
      </c>
      <c r="J335" s="331">
        <v>0</v>
      </c>
      <c r="K335" s="331">
        <f t="shared" si="17"/>
        <v>2040608</v>
      </c>
      <c r="L335" s="199">
        <v>0.87</v>
      </c>
      <c r="M335" s="199">
        <v>1.32</v>
      </c>
    </row>
    <row r="336" spans="1:13" ht="15" customHeight="1" x14ac:dyDescent="0.25">
      <c r="A336" s="49">
        <v>1990</v>
      </c>
      <c r="B336" s="330" t="s">
        <v>11</v>
      </c>
      <c r="C336" s="331">
        <v>90207247496</v>
      </c>
      <c r="D336" s="331">
        <v>33781473376</v>
      </c>
      <c r="E336" s="331">
        <v>246291707</v>
      </c>
      <c r="F336" s="331">
        <v>460325</v>
      </c>
      <c r="G336" s="370">
        <f t="shared" si="15"/>
        <v>5.102971355160924E-6</v>
      </c>
      <c r="H336" s="370">
        <f t="shared" si="16"/>
        <v>1.3626551893590208E-5</v>
      </c>
      <c r="I336" s="331">
        <v>2019400</v>
      </c>
      <c r="J336" s="331">
        <v>0</v>
      </c>
      <c r="K336" s="331">
        <f t="shared" si="17"/>
        <v>2019400</v>
      </c>
      <c r="L336" s="199">
        <v>0.73</v>
      </c>
      <c r="M336" s="199">
        <v>1.32</v>
      </c>
    </row>
    <row r="337" spans="1:13" ht="15" customHeight="1" x14ac:dyDescent="0.25">
      <c r="A337" s="49">
        <v>1991</v>
      </c>
      <c r="B337" s="330" t="s">
        <v>11</v>
      </c>
      <c r="C337" s="331">
        <v>91736793342</v>
      </c>
      <c r="D337" s="331">
        <v>32916259571</v>
      </c>
      <c r="E337" s="331">
        <v>312908006</v>
      </c>
      <c r="F337" s="331">
        <v>801433</v>
      </c>
      <c r="G337" s="370">
        <f t="shared" si="15"/>
        <v>8.7362220849840706E-6</v>
      </c>
      <c r="H337" s="370">
        <f t="shared" si="16"/>
        <v>2.4347632764024055E-5</v>
      </c>
      <c r="I337" s="331">
        <v>1691814</v>
      </c>
      <c r="J337" s="331">
        <v>0</v>
      </c>
      <c r="K337" s="331">
        <f t="shared" si="17"/>
        <v>1691814</v>
      </c>
      <c r="L337" s="199">
        <v>0.95</v>
      </c>
      <c r="M337" s="199">
        <v>1.33</v>
      </c>
    </row>
    <row r="338" spans="1:13" ht="15" customHeight="1" x14ac:dyDescent="0.25">
      <c r="A338" s="49">
        <v>1992</v>
      </c>
      <c r="B338" s="330" t="s">
        <v>11</v>
      </c>
      <c r="C338" s="331">
        <v>98246651998</v>
      </c>
      <c r="D338" s="331">
        <v>33708532383</v>
      </c>
      <c r="E338" s="331">
        <v>490520948</v>
      </c>
      <c r="F338" s="331">
        <v>824306</v>
      </c>
      <c r="G338" s="370">
        <f t="shared" si="15"/>
        <v>8.3901688580368155E-6</v>
      </c>
      <c r="H338" s="370">
        <f t="shared" si="16"/>
        <v>2.4453927291587359E-5</v>
      </c>
      <c r="I338" s="331">
        <v>1443603</v>
      </c>
      <c r="J338" s="331">
        <v>0</v>
      </c>
      <c r="K338" s="331">
        <f t="shared" si="17"/>
        <v>1443603</v>
      </c>
      <c r="L338" s="199">
        <v>1.46</v>
      </c>
      <c r="M338" s="199">
        <v>1.33</v>
      </c>
    </row>
    <row r="339" spans="1:13" ht="15" customHeight="1" x14ac:dyDescent="0.25">
      <c r="A339" s="49">
        <v>1993</v>
      </c>
      <c r="B339" s="330" t="s">
        <v>11</v>
      </c>
      <c r="C339" s="331">
        <v>104059798159</v>
      </c>
      <c r="D339" s="331">
        <v>35409001814</v>
      </c>
      <c r="E339" s="331">
        <v>635806318</v>
      </c>
      <c r="F339" s="331">
        <v>667012</v>
      </c>
      <c r="G339" s="370">
        <f t="shared" si="15"/>
        <v>6.4098913490186407E-6</v>
      </c>
      <c r="H339" s="370">
        <f t="shared" si="16"/>
        <v>1.8837356768873304E-5</v>
      </c>
      <c r="I339" s="331">
        <v>1505570</v>
      </c>
      <c r="J339" s="331">
        <v>0</v>
      </c>
      <c r="K339" s="331">
        <f t="shared" si="17"/>
        <v>1505570</v>
      </c>
      <c r="L339" s="199">
        <v>1.8</v>
      </c>
      <c r="M339" s="199">
        <v>1.33</v>
      </c>
    </row>
    <row r="340" spans="1:13" ht="15" customHeight="1" x14ac:dyDescent="0.25">
      <c r="A340" s="49">
        <v>1994</v>
      </c>
      <c r="B340" s="330" t="s">
        <v>11</v>
      </c>
      <c r="C340" s="331">
        <v>110294449185</v>
      </c>
      <c r="D340" s="331">
        <v>37189351441</v>
      </c>
      <c r="E340" s="331">
        <v>713046964</v>
      </c>
      <c r="F340" s="331">
        <v>683649</v>
      </c>
      <c r="G340" s="370">
        <f t="shared" si="15"/>
        <v>6.1983989679598128E-6</v>
      </c>
      <c r="H340" s="370">
        <f t="shared" si="16"/>
        <v>1.8382923431310504E-5</v>
      </c>
      <c r="I340" s="331">
        <v>1621614</v>
      </c>
      <c r="J340" s="331">
        <v>0</v>
      </c>
      <c r="K340" s="331">
        <f t="shared" si="17"/>
        <v>1621614</v>
      </c>
      <c r="L340" s="199">
        <v>1.92</v>
      </c>
      <c r="M340" s="199">
        <v>1.33</v>
      </c>
    </row>
    <row r="341" spans="1:13" ht="15" customHeight="1" x14ac:dyDescent="0.25">
      <c r="A341" s="49">
        <v>1995</v>
      </c>
      <c r="B341" s="330" t="s">
        <v>11</v>
      </c>
      <c r="C341" s="331">
        <v>118230889600</v>
      </c>
      <c r="D341" s="331">
        <v>38730193180</v>
      </c>
      <c r="E341" s="331">
        <v>686381231</v>
      </c>
      <c r="F341" s="331">
        <v>634534</v>
      </c>
      <c r="G341" s="370">
        <f t="shared" si="15"/>
        <v>5.3669054013444551E-6</v>
      </c>
      <c r="H341" s="370">
        <f t="shared" si="16"/>
        <v>1.6383445263259595E-5</v>
      </c>
      <c r="I341" s="331">
        <v>1806432</v>
      </c>
      <c r="J341" s="331">
        <v>0</v>
      </c>
      <c r="K341" s="331">
        <f t="shared" si="17"/>
        <v>1806432</v>
      </c>
      <c r="L341" s="199">
        <v>1.77</v>
      </c>
      <c r="M341" s="199">
        <v>0.99</v>
      </c>
    </row>
    <row r="342" spans="1:13" ht="15" customHeight="1" x14ac:dyDescent="0.25">
      <c r="A342" s="49">
        <v>1996</v>
      </c>
      <c r="B342" s="330" t="s">
        <v>11</v>
      </c>
      <c r="C342" s="331">
        <v>127078508066</v>
      </c>
      <c r="D342" s="331">
        <v>40589091201</v>
      </c>
      <c r="E342" s="331">
        <v>632462633</v>
      </c>
      <c r="F342" s="331">
        <v>639232</v>
      </c>
      <c r="G342" s="370">
        <f t="shared" si="15"/>
        <v>5.0302132888435072E-6</v>
      </c>
      <c r="H342" s="370">
        <f t="shared" si="16"/>
        <v>1.5748862097810435E-5</v>
      </c>
      <c r="I342" s="331">
        <v>1947557</v>
      </c>
      <c r="J342" s="331">
        <v>0</v>
      </c>
      <c r="K342" s="331">
        <f t="shared" si="17"/>
        <v>1947557</v>
      </c>
      <c r="L342" s="199">
        <v>1.56</v>
      </c>
      <c r="M342" s="199">
        <v>0.85</v>
      </c>
    </row>
    <row r="343" spans="1:13" ht="15" customHeight="1" x14ac:dyDescent="0.25">
      <c r="A343" s="49">
        <v>1997</v>
      </c>
      <c r="B343" s="330" t="s">
        <v>11</v>
      </c>
      <c r="C343" s="331">
        <v>136678758448</v>
      </c>
      <c r="D343" s="331">
        <v>42685744716</v>
      </c>
      <c r="E343" s="331">
        <v>612604963</v>
      </c>
      <c r="F343" s="331">
        <v>615201</v>
      </c>
      <c r="G343" s="370">
        <f t="shared" si="15"/>
        <v>4.5010724927974508E-6</v>
      </c>
      <c r="H343" s="370">
        <f t="shared" si="16"/>
        <v>1.4412329083001865E-5</v>
      </c>
      <c r="I343" s="331">
        <v>2090222</v>
      </c>
      <c r="J343" s="331">
        <v>0</v>
      </c>
      <c r="K343" s="331">
        <f t="shared" si="17"/>
        <v>2090222</v>
      </c>
      <c r="L343" s="199">
        <v>1.44</v>
      </c>
      <c r="M343" s="199">
        <v>0.82</v>
      </c>
    </row>
    <row r="344" spans="1:13" ht="15" customHeight="1" x14ac:dyDescent="0.25">
      <c r="A344" s="49">
        <v>1998</v>
      </c>
      <c r="B344" s="330" t="s">
        <v>11</v>
      </c>
      <c r="C344" s="331">
        <v>150879618816</v>
      </c>
      <c r="D344" s="331">
        <v>45057520408</v>
      </c>
      <c r="E344" s="331">
        <v>476128440</v>
      </c>
      <c r="F344" s="331">
        <v>638478</v>
      </c>
      <c r="G344" s="370">
        <f t="shared" si="15"/>
        <v>4.2317047525062588E-6</v>
      </c>
      <c r="H344" s="370">
        <f t="shared" si="16"/>
        <v>1.4170287095661787E-5</v>
      </c>
      <c r="I344" s="331">
        <v>2070622</v>
      </c>
      <c r="J344" s="331">
        <v>0</v>
      </c>
      <c r="K344" s="331">
        <f t="shared" si="17"/>
        <v>2070622</v>
      </c>
      <c r="L344" s="199">
        <v>1.06</v>
      </c>
      <c r="M344" s="199">
        <v>0.82</v>
      </c>
    </row>
    <row r="345" spans="1:13" ht="15" customHeight="1" x14ac:dyDescent="0.25">
      <c r="A345" s="49">
        <v>1999</v>
      </c>
      <c r="B345" s="330" t="s">
        <v>11</v>
      </c>
      <c r="C345" s="331">
        <v>160719161628</v>
      </c>
      <c r="D345" s="331">
        <v>47123858130</v>
      </c>
      <c r="E345" s="331">
        <v>577969569</v>
      </c>
      <c r="F345" s="331">
        <v>641625</v>
      </c>
      <c r="G345" s="370">
        <f t="shared" si="15"/>
        <v>3.9922122135324659E-6</v>
      </c>
      <c r="H345" s="370">
        <f t="shared" si="16"/>
        <v>1.3615714533176743E-5</v>
      </c>
      <c r="I345" s="331">
        <v>2113688</v>
      </c>
      <c r="J345" s="331">
        <v>0</v>
      </c>
      <c r="K345" s="331">
        <f t="shared" si="17"/>
        <v>2113688</v>
      </c>
      <c r="L345" s="199">
        <v>1.23</v>
      </c>
      <c r="M345" s="199">
        <v>0.82</v>
      </c>
    </row>
    <row r="346" spans="1:13" ht="15" customHeight="1" x14ac:dyDescent="0.25">
      <c r="A346" s="49">
        <v>2000</v>
      </c>
      <c r="B346" s="330" t="s">
        <v>11</v>
      </c>
      <c r="C346" s="331">
        <v>175751918303</v>
      </c>
      <c r="D346" s="331">
        <v>49985668171</v>
      </c>
      <c r="E346" s="331">
        <v>391314712</v>
      </c>
      <c r="F346" s="331">
        <v>634750</v>
      </c>
      <c r="G346" s="370">
        <f t="shared" si="15"/>
        <v>3.6116248751588458E-6</v>
      </c>
      <c r="H346" s="370">
        <f t="shared" si="16"/>
        <v>1.2698639894710071E-5</v>
      </c>
      <c r="I346" s="331">
        <v>2029755</v>
      </c>
      <c r="J346" s="331">
        <v>0</v>
      </c>
      <c r="K346" s="331">
        <f t="shared" si="17"/>
        <v>2029755</v>
      </c>
      <c r="L346" s="199">
        <v>0.78</v>
      </c>
      <c r="M346" s="199">
        <v>0.82</v>
      </c>
    </row>
    <row r="347" spans="1:13" ht="15" customHeight="1" x14ac:dyDescent="0.25">
      <c r="A347" s="49">
        <v>2001</v>
      </c>
      <c r="B347" s="330" t="s">
        <v>11</v>
      </c>
      <c r="C347" s="331">
        <v>183480911929</v>
      </c>
      <c r="D347" s="331">
        <v>49796871881</v>
      </c>
      <c r="E347" s="331">
        <v>558241819</v>
      </c>
      <c r="F347" s="331">
        <v>924470</v>
      </c>
      <c r="G347" s="370">
        <f t="shared" si="15"/>
        <v>5.0385077678147475E-6</v>
      </c>
      <c r="H347" s="370">
        <f t="shared" si="16"/>
        <v>1.8564820742339272E-5</v>
      </c>
      <c r="I347" s="331">
        <v>1761823</v>
      </c>
      <c r="J347" s="331">
        <v>0</v>
      </c>
      <c r="K347" s="331">
        <f t="shared" si="17"/>
        <v>1761823</v>
      </c>
      <c r="L347" s="199">
        <v>1.1200000000000001</v>
      </c>
      <c r="M347" s="199">
        <v>0.82</v>
      </c>
    </row>
    <row r="348" spans="1:13" ht="15" customHeight="1" x14ac:dyDescent="0.25">
      <c r="A348" s="49">
        <v>2002</v>
      </c>
      <c r="B348" s="330" t="s">
        <v>11</v>
      </c>
      <c r="C348" s="331">
        <v>187865710832</v>
      </c>
      <c r="D348" s="331">
        <v>49779546185</v>
      </c>
      <c r="E348" s="331">
        <v>559048411</v>
      </c>
      <c r="F348" s="331">
        <v>1177430</v>
      </c>
      <c r="G348" s="370">
        <f t="shared" si="15"/>
        <v>6.2674023630258079E-6</v>
      </c>
      <c r="H348" s="370">
        <f t="shared" si="16"/>
        <v>2.3652887385196638E-5</v>
      </c>
      <c r="I348" s="331">
        <v>1713366</v>
      </c>
      <c r="J348" s="331">
        <v>0</v>
      </c>
      <c r="K348" s="331">
        <f t="shared" si="17"/>
        <v>1713366</v>
      </c>
      <c r="L348" s="199">
        <v>1.1200000000000001</v>
      </c>
      <c r="M348" s="199">
        <v>0.82</v>
      </c>
    </row>
    <row r="349" spans="1:13" ht="15" customHeight="1" x14ac:dyDescent="0.25">
      <c r="A349" s="49">
        <v>2003</v>
      </c>
      <c r="B349" s="330" t="s">
        <v>11</v>
      </c>
      <c r="C349" s="331">
        <v>196048344353</v>
      </c>
      <c r="D349" s="331">
        <v>50658830562</v>
      </c>
      <c r="E349" s="331">
        <v>681228243</v>
      </c>
      <c r="F349" s="331">
        <v>1108828</v>
      </c>
      <c r="G349" s="370">
        <f t="shared" si="15"/>
        <v>5.6558906613537661E-6</v>
      </c>
      <c r="H349" s="370">
        <f t="shared" si="16"/>
        <v>2.1888148378058881E-5</v>
      </c>
      <c r="I349" s="331">
        <v>1373524</v>
      </c>
      <c r="J349" s="331">
        <v>0</v>
      </c>
      <c r="K349" s="331">
        <f t="shared" si="17"/>
        <v>1373524</v>
      </c>
      <c r="L349" s="199">
        <v>1.34</v>
      </c>
      <c r="M349" s="199">
        <v>0.82</v>
      </c>
    </row>
    <row r="350" spans="1:13" ht="15" customHeight="1" x14ac:dyDescent="0.25">
      <c r="A350" s="49">
        <v>2004</v>
      </c>
      <c r="B350" s="330" t="s">
        <v>11</v>
      </c>
      <c r="C350" s="331">
        <v>212131436662</v>
      </c>
      <c r="D350" s="331">
        <v>53463308025</v>
      </c>
      <c r="E350" s="331">
        <v>978571712</v>
      </c>
      <c r="F350" s="331">
        <v>968696</v>
      </c>
      <c r="G350" s="370">
        <f t="shared" si="15"/>
        <v>4.5664896030637527E-6</v>
      </c>
      <c r="H350" s="370">
        <f t="shared" si="16"/>
        <v>1.8118893794357575E-5</v>
      </c>
      <c r="I350" s="331">
        <v>1421452</v>
      </c>
      <c r="J350" s="331">
        <v>0</v>
      </c>
      <c r="K350" s="331">
        <f t="shared" si="17"/>
        <v>1421452</v>
      </c>
      <c r="L350" s="199">
        <v>1.83</v>
      </c>
      <c r="M350" s="199">
        <v>0.82</v>
      </c>
    </row>
    <row r="351" spans="1:13" x14ac:dyDescent="0.25">
      <c r="A351" s="49">
        <v>2005</v>
      </c>
      <c r="B351" s="330" t="s">
        <v>11</v>
      </c>
      <c r="C351" s="331">
        <v>232005991073</v>
      </c>
      <c r="D351" s="331">
        <v>56680176271</v>
      </c>
      <c r="E351" s="331">
        <v>1172557523</v>
      </c>
      <c r="F351" s="331">
        <v>842089</v>
      </c>
      <c r="G351" s="370">
        <f t="shared" si="15"/>
        <v>3.6296002362070004E-6</v>
      </c>
      <c r="H351" s="370">
        <f t="shared" si="16"/>
        <v>1.4856852173038296E-5</v>
      </c>
      <c r="I351" s="331">
        <v>1806478</v>
      </c>
      <c r="J351" s="331">
        <v>0</v>
      </c>
      <c r="K351" s="331">
        <f t="shared" si="17"/>
        <v>1806478</v>
      </c>
      <c r="L351" s="199">
        <v>2.0699999999999998</v>
      </c>
      <c r="M351" s="199">
        <v>0.82</v>
      </c>
    </row>
    <row r="352" spans="1:13" ht="15" customHeight="1" x14ac:dyDescent="0.25">
      <c r="A352" s="49">
        <v>2006</v>
      </c>
      <c r="B352" s="330" t="s">
        <v>11</v>
      </c>
      <c r="C352" s="331">
        <v>249945550925</v>
      </c>
      <c r="D352" s="331">
        <v>59005636705</v>
      </c>
      <c r="E352" s="331">
        <v>1134061637</v>
      </c>
      <c r="F352" s="331">
        <v>677476</v>
      </c>
      <c r="G352" s="370">
        <f t="shared" si="15"/>
        <v>2.7104943356374728E-6</v>
      </c>
      <c r="H352" s="370">
        <f t="shared" si="16"/>
        <v>1.1481547150945195E-5</v>
      </c>
      <c r="I352" s="331">
        <v>2290913</v>
      </c>
      <c r="J352" s="331">
        <v>0</v>
      </c>
      <c r="K352" s="331">
        <f t="shared" si="17"/>
        <v>2290913</v>
      </c>
      <c r="L352" s="199">
        <v>1.92</v>
      </c>
      <c r="M352" s="199">
        <v>0.82</v>
      </c>
    </row>
    <row r="353" spans="1:13" ht="15" customHeight="1" x14ac:dyDescent="0.25">
      <c r="A353" s="49">
        <v>2007</v>
      </c>
      <c r="B353" s="330" t="s">
        <v>11</v>
      </c>
      <c r="C353" s="331">
        <v>256113366179</v>
      </c>
      <c r="D353" s="331">
        <v>58148633761</v>
      </c>
      <c r="E353" s="331">
        <v>861592826</v>
      </c>
      <c r="F353" s="331">
        <v>1067319</v>
      </c>
      <c r="G353" s="370">
        <f t="shared" si="15"/>
        <v>4.1673693799098363E-6</v>
      </c>
      <c r="H353" s="370">
        <f t="shared" si="16"/>
        <v>1.8355014227623101E-5</v>
      </c>
      <c r="I353" s="331">
        <v>2203889</v>
      </c>
      <c r="J353" s="331">
        <v>0</v>
      </c>
      <c r="K353" s="331">
        <f t="shared" si="17"/>
        <v>2203889</v>
      </c>
      <c r="L353" s="199">
        <v>1.48</v>
      </c>
      <c r="M353" s="199">
        <v>0.82</v>
      </c>
    </row>
    <row r="354" spans="1:13" ht="15" customHeight="1" x14ac:dyDescent="0.25">
      <c r="A354" s="49">
        <v>2008</v>
      </c>
      <c r="B354" s="330" t="s">
        <v>11</v>
      </c>
      <c r="C354" s="331">
        <v>248429984287</v>
      </c>
      <c r="D354" s="331">
        <v>54226545911</v>
      </c>
      <c r="E354" s="331">
        <v>745102733</v>
      </c>
      <c r="F354" s="331">
        <v>1708790</v>
      </c>
      <c r="G354" s="370">
        <f t="shared" si="15"/>
        <v>6.878356511208855E-6</v>
      </c>
      <c r="H354" s="370">
        <f t="shared" si="16"/>
        <v>3.1512056895612956E-5</v>
      </c>
      <c r="I354" s="331">
        <v>1320285</v>
      </c>
      <c r="J354" s="331">
        <v>0</v>
      </c>
      <c r="K354" s="331">
        <f t="shared" si="17"/>
        <v>1320285</v>
      </c>
      <c r="L354" s="199">
        <v>1.4</v>
      </c>
      <c r="M354" s="199">
        <v>0.82</v>
      </c>
    </row>
    <row r="355" spans="1:13" ht="15" customHeight="1" x14ac:dyDescent="0.25">
      <c r="A355" s="49">
        <v>2009</v>
      </c>
      <c r="B355" s="330" t="s">
        <v>11</v>
      </c>
      <c r="C355" s="331">
        <v>230842052376</v>
      </c>
      <c r="D355" s="331">
        <v>49052111223</v>
      </c>
      <c r="E355" s="331">
        <v>754818383</v>
      </c>
      <c r="F355" s="331">
        <v>2916853</v>
      </c>
      <c r="G355" s="370">
        <f t="shared" si="15"/>
        <v>1.2635709005259464E-5</v>
      </c>
      <c r="H355" s="370">
        <f t="shared" si="16"/>
        <v>5.9464372221196457E-5</v>
      </c>
      <c r="I355" s="331">
        <v>135506</v>
      </c>
      <c r="J355" s="331">
        <v>951700</v>
      </c>
      <c r="K355" s="331">
        <f t="shared" si="17"/>
        <v>-816194</v>
      </c>
      <c r="L355" s="199">
        <v>1.5</v>
      </c>
      <c r="M355" s="199">
        <v>0.99</v>
      </c>
    </row>
    <row r="356" spans="1:13" ht="15" customHeight="1" x14ac:dyDescent="0.25">
      <c r="A356" s="49">
        <v>2010</v>
      </c>
      <c r="B356" s="330" t="s">
        <v>11</v>
      </c>
      <c r="C356" s="331">
        <v>231623583943</v>
      </c>
      <c r="D356" s="331">
        <v>49595160173</v>
      </c>
      <c r="E356" s="331">
        <v>1180464711</v>
      </c>
      <c r="F356" s="331">
        <v>2107829</v>
      </c>
      <c r="G356" s="370">
        <f t="shared" si="15"/>
        <v>9.1002348038907533E-6</v>
      </c>
      <c r="H356" s="370">
        <f t="shared" si="16"/>
        <v>4.2500699516795166E-5</v>
      </c>
      <c r="I356" s="331">
        <v>102956</v>
      </c>
      <c r="J356" s="331">
        <v>1957500</v>
      </c>
      <c r="K356" s="331">
        <f t="shared" si="17"/>
        <v>-1854544</v>
      </c>
      <c r="L356" s="199">
        <v>2.4</v>
      </c>
      <c r="M356" s="199">
        <v>1.01</v>
      </c>
    </row>
    <row r="357" spans="1:13" ht="15" customHeight="1" x14ac:dyDescent="0.25">
      <c r="A357" s="49">
        <v>2011</v>
      </c>
      <c r="B357" s="330" t="s">
        <v>11</v>
      </c>
      <c r="C357" s="331">
        <v>240217149685</v>
      </c>
      <c r="D357" s="331">
        <v>50207546247</v>
      </c>
      <c r="E357" s="331">
        <v>1711289752</v>
      </c>
      <c r="F357" s="331">
        <v>1508695</v>
      </c>
      <c r="G357" s="370">
        <f t="shared" si="15"/>
        <v>6.2805465886943217E-6</v>
      </c>
      <c r="H357" s="370">
        <f t="shared" si="16"/>
        <v>3.0049168158464773E-5</v>
      </c>
      <c r="I357" s="331">
        <v>48937</v>
      </c>
      <c r="J357" s="331">
        <v>1774000</v>
      </c>
      <c r="K357" s="331">
        <f t="shared" si="17"/>
        <v>-1725063</v>
      </c>
      <c r="L357" s="199">
        <v>3.4</v>
      </c>
      <c r="M357" s="199">
        <v>1.01</v>
      </c>
    </row>
    <row r="358" spans="1:13" ht="15" customHeight="1" x14ac:dyDescent="0.25">
      <c r="A358" s="49">
        <v>2012</v>
      </c>
      <c r="B358" s="330" t="s">
        <v>11</v>
      </c>
      <c r="C358" s="331">
        <v>252788260914</v>
      </c>
      <c r="D358" s="331">
        <v>57553424757</v>
      </c>
      <c r="E358" s="331">
        <v>2218662268</v>
      </c>
      <c r="F358" s="331">
        <v>1193946</v>
      </c>
      <c r="G358" s="370">
        <f t="shared" si="15"/>
        <v>4.7231069816417905E-6</v>
      </c>
      <c r="H358" s="370">
        <f t="shared" si="16"/>
        <v>2.0745003534386283E-5</v>
      </c>
      <c r="I358" s="331">
        <v>30810</v>
      </c>
      <c r="J358" s="331">
        <v>626216</v>
      </c>
      <c r="K358" s="331">
        <f t="shared" si="17"/>
        <v>-595406</v>
      </c>
      <c r="L358" s="199">
        <v>3.85</v>
      </c>
      <c r="M358" s="199">
        <v>1.01</v>
      </c>
    </row>
    <row r="359" spans="1:13" ht="15" customHeight="1" x14ac:dyDescent="0.25">
      <c r="A359" s="49">
        <v>2013</v>
      </c>
      <c r="B359" s="330" t="s">
        <v>11</v>
      </c>
      <c r="C359" s="331">
        <v>263108931494</v>
      </c>
      <c r="D359" s="331">
        <v>59483902835</v>
      </c>
      <c r="E359" s="331">
        <v>2061983367</v>
      </c>
      <c r="F359" s="331">
        <v>948973</v>
      </c>
      <c r="G359" s="370">
        <f t="shared" si="15"/>
        <v>3.6067684765070038E-6</v>
      </c>
      <c r="H359" s="370">
        <f t="shared" si="16"/>
        <v>1.5953442104031371E-5</v>
      </c>
      <c r="I359" s="331">
        <v>798920</v>
      </c>
      <c r="J359" s="331">
        <v>0</v>
      </c>
      <c r="K359" s="331">
        <f t="shared" si="17"/>
        <v>798920</v>
      </c>
      <c r="L359" s="199">
        <v>3.47</v>
      </c>
      <c r="M359" s="199">
        <v>1.01</v>
      </c>
    </row>
    <row r="360" spans="1:13" ht="15" customHeight="1" x14ac:dyDescent="0.25">
      <c r="A360" s="49">
        <v>2014</v>
      </c>
      <c r="B360" s="330" t="s">
        <v>11</v>
      </c>
      <c r="C360" s="331">
        <v>280130209346</v>
      </c>
      <c r="D360" s="331">
        <v>62381844060</v>
      </c>
      <c r="E360" s="331">
        <v>1777829817</v>
      </c>
      <c r="F360" s="331">
        <v>766609</v>
      </c>
      <c r="G360" s="370">
        <f t="shared" si="15"/>
        <v>2.7366166676194879E-6</v>
      </c>
      <c r="H360" s="370">
        <f t="shared" si="16"/>
        <v>1.2288976248644741E-5</v>
      </c>
      <c r="I360" s="331">
        <v>1848909</v>
      </c>
      <c r="J360" s="331">
        <v>0</v>
      </c>
      <c r="K360" s="331">
        <f t="shared" si="17"/>
        <v>1848909</v>
      </c>
      <c r="L360" s="333">
        <v>2.8499154582382187</v>
      </c>
      <c r="M360" s="199">
        <v>1.01</v>
      </c>
    </row>
    <row r="361" spans="1:13" ht="15" customHeight="1" x14ac:dyDescent="0.25">
      <c r="A361" s="49">
        <v>2015</v>
      </c>
      <c r="B361" s="330" t="s">
        <v>11</v>
      </c>
      <c r="C361" s="334">
        <v>301304128000</v>
      </c>
      <c r="D361" s="334">
        <v>59447522000</v>
      </c>
      <c r="E361" s="334">
        <v>1269481000</v>
      </c>
      <c r="F361" s="331">
        <v>506255</v>
      </c>
      <c r="G361" s="370">
        <f t="shared" si="15"/>
        <v>1.6802126255634971E-6</v>
      </c>
      <c r="H361" s="370">
        <f t="shared" si="16"/>
        <v>8.5159983623875854E-6</v>
      </c>
      <c r="I361" s="331">
        <v>2666016</v>
      </c>
      <c r="J361" s="199">
        <v>0</v>
      </c>
      <c r="K361" s="331">
        <f t="shared" si="17"/>
        <v>2666016</v>
      </c>
      <c r="L361" s="199">
        <v>2.1</v>
      </c>
      <c r="M361" s="199">
        <v>1.02</v>
      </c>
    </row>
    <row r="362" spans="1:13" ht="15" customHeight="1" x14ac:dyDescent="0.25">
      <c r="A362" s="49">
        <v>1980</v>
      </c>
      <c r="B362" s="330" t="s">
        <v>12</v>
      </c>
      <c r="C362" s="331">
        <v>21817564880</v>
      </c>
      <c r="D362" s="331">
        <v>10372753977</v>
      </c>
      <c r="E362" s="331">
        <v>170247015</v>
      </c>
      <c r="F362" s="331">
        <v>176269</v>
      </c>
      <c r="G362" s="370">
        <f t="shared" si="15"/>
        <v>8.0792242841722671E-6</v>
      </c>
      <c r="H362" s="370">
        <f t="shared" si="16"/>
        <v>1.6993461947603272E-5</v>
      </c>
      <c r="I362" s="331">
        <v>477607</v>
      </c>
      <c r="J362" s="331">
        <v>0</v>
      </c>
      <c r="K362" s="331">
        <f t="shared" si="17"/>
        <v>477607</v>
      </c>
      <c r="L362" s="199">
        <v>1.64</v>
      </c>
      <c r="M362" s="199">
        <v>1.55</v>
      </c>
    </row>
    <row r="363" spans="1:13" ht="15" customHeight="1" x14ac:dyDescent="0.25">
      <c r="A363" s="49">
        <v>1981</v>
      </c>
      <c r="B363" s="330" t="s">
        <v>12</v>
      </c>
      <c r="C363" s="331">
        <v>24348454417</v>
      </c>
      <c r="D363" s="331">
        <v>10875663096</v>
      </c>
      <c r="E363" s="331">
        <v>158692732</v>
      </c>
      <c r="F363" s="331">
        <v>176712</v>
      </c>
      <c r="G363" s="370">
        <f t="shared" si="15"/>
        <v>7.2576269923983489E-6</v>
      </c>
      <c r="H363" s="370">
        <f t="shared" si="16"/>
        <v>1.6248388575496931E-5</v>
      </c>
      <c r="I363" s="331">
        <v>507632</v>
      </c>
      <c r="J363" s="331">
        <v>0</v>
      </c>
      <c r="K363" s="331">
        <f t="shared" si="17"/>
        <v>507632</v>
      </c>
      <c r="L363" s="199">
        <v>1.46</v>
      </c>
      <c r="M363" s="199">
        <v>1.39</v>
      </c>
    </row>
    <row r="364" spans="1:13" ht="15" customHeight="1" x14ac:dyDescent="0.25">
      <c r="A364" s="49">
        <v>1982</v>
      </c>
      <c r="B364" s="330" t="s">
        <v>12</v>
      </c>
      <c r="C364" s="331">
        <v>25964287389</v>
      </c>
      <c r="D364" s="331">
        <v>10765790637</v>
      </c>
      <c r="E364" s="331">
        <v>147799756</v>
      </c>
      <c r="F364" s="331">
        <v>305109</v>
      </c>
      <c r="G364" s="370">
        <f t="shared" si="15"/>
        <v>1.1751102405732196E-5</v>
      </c>
      <c r="H364" s="370">
        <f t="shared" si="16"/>
        <v>2.8340603146358585E-5</v>
      </c>
      <c r="I364" s="331">
        <v>397109</v>
      </c>
      <c r="J364" s="331">
        <v>0</v>
      </c>
      <c r="K364" s="331">
        <f t="shared" si="17"/>
        <v>397109</v>
      </c>
      <c r="L364" s="199">
        <v>1.37</v>
      </c>
      <c r="M364" s="199">
        <v>1.5</v>
      </c>
    </row>
    <row r="365" spans="1:13" ht="15" customHeight="1" x14ac:dyDescent="0.25">
      <c r="A365" s="49">
        <v>1983</v>
      </c>
      <c r="B365" s="330" t="s">
        <v>12</v>
      </c>
      <c r="C365" s="331">
        <v>28712373750</v>
      </c>
      <c r="D365" s="331">
        <v>12629410800</v>
      </c>
      <c r="E365" s="331">
        <v>191918649</v>
      </c>
      <c r="F365" s="331">
        <v>226923</v>
      </c>
      <c r="G365" s="370">
        <f t="shared" si="15"/>
        <v>7.9033172936459153E-6</v>
      </c>
      <c r="H365" s="370">
        <f t="shared" si="16"/>
        <v>1.7967821586736255E-5</v>
      </c>
      <c r="I365" s="331">
        <v>381996</v>
      </c>
      <c r="J365" s="331">
        <v>0</v>
      </c>
      <c r="K365" s="331">
        <f t="shared" si="17"/>
        <v>381996</v>
      </c>
      <c r="L365" s="199">
        <v>1.52</v>
      </c>
      <c r="M365" s="199">
        <v>1.5</v>
      </c>
    </row>
    <row r="366" spans="1:13" ht="15" customHeight="1" x14ac:dyDescent="0.25">
      <c r="A366" s="49">
        <v>1984</v>
      </c>
      <c r="B366" s="330" t="s">
        <v>12</v>
      </c>
      <c r="C366" s="331">
        <v>33033906445</v>
      </c>
      <c r="D366" s="331">
        <v>14014454473</v>
      </c>
      <c r="E366" s="331">
        <v>234817155</v>
      </c>
      <c r="F366" s="331">
        <v>168993</v>
      </c>
      <c r="G366" s="370">
        <f t="shared" si="15"/>
        <v>5.1157437368591542E-6</v>
      </c>
      <c r="H366" s="370">
        <f t="shared" si="16"/>
        <v>1.2058478646142019E-5</v>
      </c>
      <c r="I366" s="331">
        <v>489518</v>
      </c>
      <c r="J366" s="331">
        <v>0</v>
      </c>
      <c r="K366" s="331">
        <f t="shared" si="17"/>
        <v>489518</v>
      </c>
      <c r="L366" s="199">
        <v>1.68</v>
      </c>
      <c r="M366" s="199">
        <v>1.5</v>
      </c>
    </row>
    <row r="367" spans="1:13" ht="15" customHeight="1" x14ac:dyDescent="0.25">
      <c r="A367" s="49">
        <v>1985</v>
      </c>
      <c r="B367" s="330" t="s">
        <v>12</v>
      </c>
      <c r="C367" s="331">
        <v>36732251588</v>
      </c>
      <c r="D367" s="331">
        <v>15033953077</v>
      </c>
      <c r="E367" s="331">
        <v>252588945</v>
      </c>
      <c r="F367" s="331">
        <v>198384</v>
      </c>
      <c r="G367" s="370">
        <f t="shared" si="15"/>
        <v>5.4008124039096408E-6</v>
      </c>
      <c r="H367" s="370">
        <f t="shared" si="16"/>
        <v>1.3195730955386698E-5</v>
      </c>
      <c r="I367" s="331">
        <v>594594</v>
      </c>
      <c r="J367" s="331">
        <v>0</v>
      </c>
      <c r="K367" s="331">
        <f t="shared" si="17"/>
        <v>594594</v>
      </c>
      <c r="L367" s="199">
        <v>1.68</v>
      </c>
      <c r="M367" s="199">
        <v>1.5</v>
      </c>
    </row>
    <row r="368" spans="1:13" ht="15" customHeight="1" x14ac:dyDescent="0.25">
      <c r="A368" s="49">
        <v>1986</v>
      </c>
      <c r="B368" s="330" t="s">
        <v>12</v>
      </c>
      <c r="C368" s="331">
        <v>40365397097</v>
      </c>
      <c r="D368" s="331">
        <v>16638517361</v>
      </c>
      <c r="E368" s="331">
        <v>267500561</v>
      </c>
      <c r="F368" s="331">
        <v>219174</v>
      </c>
      <c r="G368" s="370">
        <f t="shared" si="15"/>
        <v>5.4297496311832209E-6</v>
      </c>
      <c r="H368" s="370">
        <f t="shared" si="16"/>
        <v>1.3172688121462963E-5</v>
      </c>
      <c r="I368" s="331">
        <v>705654</v>
      </c>
      <c r="J368" s="331">
        <v>0</v>
      </c>
      <c r="K368" s="331">
        <f t="shared" si="17"/>
        <v>705654</v>
      </c>
      <c r="L368" s="199">
        <v>1.61</v>
      </c>
      <c r="M368" s="199">
        <v>1.5</v>
      </c>
    </row>
    <row r="369" spans="1:13" ht="15" customHeight="1" x14ac:dyDescent="0.25">
      <c r="A369" s="49">
        <v>1987</v>
      </c>
      <c r="B369" s="330" t="s">
        <v>12</v>
      </c>
      <c r="C369" s="331">
        <v>44013730486</v>
      </c>
      <c r="D369" s="331">
        <v>17611898695</v>
      </c>
      <c r="E369" s="331">
        <v>264984936</v>
      </c>
      <c r="F369" s="331">
        <v>230615</v>
      </c>
      <c r="G369" s="370">
        <f t="shared" si="15"/>
        <v>5.2396149440991966E-6</v>
      </c>
      <c r="H369" s="370">
        <f t="shared" si="16"/>
        <v>1.3094272457146903E-5</v>
      </c>
      <c r="I369" s="331">
        <v>803136</v>
      </c>
      <c r="J369" s="331">
        <v>0</v>
      </c>
      <c r="K369" s="331">
        <f t="shared" si="17"/>
        <v>803136</v>
      </c>
      <c r="L369" s="199">
        <v>1.5</v>
      </c>
      <c r="M369" s="199">
        <v>1.5</v>
      </c>
    </row>
    <row r="370" spans="1:13" ht="15" customHeight="1" x14ac:dyDescent="0.25">
      <c r="A370" s="49">
        <v>1988</v>
      </c>
      <c r="B370" s="330" t="s">
        <v>12</v>
      </c>
      <c r="C370" s="331">
        <v>47444779987</v>
      </c>
      <c r="D370" s="331">
        <v>18151035196</v>
      </c>
      <c r="E370" s="331">
        <v>259262356</v>
      </c>
      <c r="F370" s="331">
        <v>216720</v>
      </c>
      <c r="G370" s="370">
        <f t="shared" si="15"/>
        <v>4.5678365472320009E-6</v>
      </c>
      <c r="H370" s="370">
        <f t="shared" si="16"/>
        <v>1.1939814873355503E-5</v>
      </c>
      <c r="I370" s="331">
        <v>922267</v>
      </c>
      <c r="J370" s="331">
        <v>0</v>
      </c>
      <c r="K370" s="331">
        <f t="shared" si="17"/>
        <v>922267</v>
      </c>
      <c r="L370" s="199">
        <v>1.43</v>
      </c>
      <c r="M370" s="199">
        <v>1.5</v>
      </c>
    </row>
    <row r="371" spans="1:13" ht="15" customHeight="1" x14ac:dyDescent="0.25">
      <c r="A371" s="49">
        <v>1989</v>
      </c>
      <c r="B371" s="330" t="s">
        <v>12</v>
      </c>
      <c r="C371" s="331">
        <v>49520992880</v>
      </c>
      <c r="D371" s="331">
        <v>18590140202</v>
      </c>
      <c r="E371" s="331">
        <v>257523069</v>
      </c>
      <c r="F371" s="331">
        <v>243520</v>
      </c>
      <c r="G371" s="370">
        <f t="shared" si="15"/>
        <v>4.9175104503680133E-6</v>
      </c>
      <c r="H371" s="370">
        <f t="shared" si="16"/>
        <v>1.3099417075606625E-5</v>
      </c>
      <c r="I371" s="331">
        <v>1017630</v>
      </c>
      <c r="J371" s="331">
        <v>0</v>
      </c>
      <c r="K371" s="331">
        <f t="shared" si="17"/>
        <v>1017630</v>
      </c>
      <c r="L371" s="199">
        <v>1.39</v>
      </c>
      <c r="M371" s="199">
        <v>1.5</v>
      </c>
    </row>
    <row r="372" spans="1:13" ht="15" customHeight="1" x14ac:dyDescent="0.25">
      <c r="A372" s="49">
        <v>1990</v>
      </c>
      <c r="B372" s="330" t="s">
        <v>12</v>
      </c>
      <c r="C372" s="331">
        <v>52390506365</v>
      </c>
      <c r="D372" s="331">
        <v>20307260011</v>
      </c>
      <c r="E372" s="331">
        <v>268694148</v>
      </c>
      <c r="F372" s="331">
        <v>306182</v>
      </c>
      <c r="G372" s="370">
        <f t="shared" si="15"/>
        <v>5.8442267739665894E-6</v>
      </c>
      <c r="H372" s="370">
        <f t="shared" si="16"/>
        <v>1.5077464898472166E-5</v>
      </c>
      <c r="I372" s="331">
        <v>1072115</v>
      </c>
      <c r="J372" s="331">
        <v>0</v>
      </c>
      <c r="K372" s="331">
        <f t="shared" si="17"/>
        <v>1072115</v>
      </c>
      <c r="L372" s="199">
        <v>1.32</v>
      </c>
      <c r="M372" s="199">
        <v>1.5</v>
      </c>
    </row>
    <row r="373" spans="1:13" ht="15" customHeight="1" x14ac:dyDescent="0.25">
      <c r="A373" s="49">
        <v>1991</v>
      </c>
      <c r="B373" s="330" t="s">
        <v>12</v>
      </c>
      <c r="C373" s="331">
        <v>53308781080</v>
      </c>
      <c r="D373" s="331">
        <v>19924828908</v>
      </c>
      <c r="E373" s="331">
        <v>259703621</v>
      </c>
      <c r="F373" s="331">
        <v>453248</v>
      </c>
      <c r="G373" s="370">
        <f t="shared" si="15"/>
        <v>8.5023140806730305E-6</v>
      </c>
      <c r="H373" s="370">
        <f t="shared" si="16"/>
        <v>2.2747899221258396E-5</v>
      </c>
      <c r="I373" s="331">
        <v>962324</v>
      </c>
      <c r="J373" s="331">
        <v>0</v>
      </c>
      <c r="K373" s="331">
        <f t="shared" si="17"/>
        <v>962324</v>
      </c>
      <c r="L373" s="199">
        <v>1.3</v>
      </c>
      <c r="M373" s="199">
        <v>1.5</v>
      </c>
    </row>
    <row r="374" spans="1:13" ht="15" customHeight="1" x14ac:dyDescent="0.25">
      <c r="A374" s="49">
        <v>1992</v>
      </c>
      <c r="B374" s="330" t="s">
        <v>12</v>
      </c>
      <c r="C374" s="331">
        <v>57557328417</v>
      </c>
      <c r="D374" s="331">
        <v>20581732726</v>
      </c>
      <c r="E374" s="331">
        <v>291424255</v>
      </c>
      <c r="F374" s="331">
        <v>362685</v>
      </c>
      <c r="G374" s="370">
        <f t="shared" si="15"/>
        <v>6.3012827380097476E-6</v>
      </c>
      <c r="H374" s="370">
        <f t="shared" si="16"/>
        <v>1.7621694190102662E-5</v>
      </c>
      <c r="I374" s="331">
        <v>965870</v>
      </c>
      <c r="J374" s="331">
        <v>0</v>
      </c>
      <c r="K374" s="331">
        <f t="shared" si="17"/>
        <v>965870</v>
      </c>
      <c r="L374" s="199">
        <v>1.42</v>
      </c>
      <c r="M374" s="199">
        <v>1.5</v>
      </c>
    </row>
    <row r="375" spans="1:13" ht="15" customHeight="1" x14ac:dyDescent="0.25">
      <c r="A375" s="49">
        <v>1993</v>
      </c>
      <c r="B375" s="330" t="s">
        <v>12</v>
      </c>
      <c r="C375" s="331">
        <v>61106975492</v>
      </c>
      <c r="D375" s="331">
        <v>21579675614</v>
      </c>
      <c r="E375" s="331">
        <v>330996200</v>
      </c>
      <c r="F375" s="331">
        <v>280836</v>
      </c>
      <c r="G375" s="370">
        <f t="shared" si="15"/>
        <v>4.5958091975402464E-6</v>
      </c>
      <c r="H375" s="370">
        <f t="shared" si="16"/>
        <v>1.3013912026453503E-5</v>
      </c>
      <c r="I375" s="331">
        <v>1094999</v>
      </c>
      <c r="J375" s="331">
        <v>0</v>
      </c>
      <c r="K375" s="331">
        <f t="shared" si="17"/>
        <v>1094999</v>
      </c>
      <c r="L375" s="199">
        <v>1.53</v>
      </c>
      <c r="M375" s="199">
        <v>1.5</v>
      </c>
    </row>
    <row r="376" spans="1:13" ht="15" customHeight="1" x14ac:dyDescent="0.25">
      <c r="A376" s="49">
        <v>1994</v>
      </c>
      <c r="B376" s="330" t="s">
        <v>12</v>
      </c>
      <c r="C376" s="331">
        <v>65591508695</v>
      </c>
      <c r="D376" s="331">
        <v>23065701502</v>
      </c>
      <c r="E376" s="331">
        <v>364360744</v>
      </c>
      <c r="F376" s="331">
        <v>252201</v>
      </c>
      <c r="G376" s="370">
        <f t="shared" si="15"/>
        <v>3.8450251414818441E-6</v>
      </c>
      <c r="H376" s="370">
        <f t="shared" si="16"/>
        <v>1.0934026870075118E-5</v>
      </c>
      <c r="I376" s="331">
        <v>1281507</v>
      </c>
      <c r="J376" s="331">
        <v>0</v>
      </c>
      <c r="K376" s="331">
        <f t="shared" si="17"/>
        <v>1281507</v>
      </c>
      <c r="L376" s="199">
        <v>1.58</v>
      </c>
      <c r="M376" s="199">
        <v>1.5</v>
      </c>
    </row>
    <row r="377" spans="1:13" ht="15" customHeight="1" x14ac:dyDescent="0.25">
      <c r="A377" s="49">
        <v>1995</v>
      </c>
      <c r="B377" s="330" t="s">
        <v>12</v>
      </c>
      <c r="C377" s="331">
        <v>71607287537</v>
      </c>
      <c r="D377" s="331">
        <v>24809625208</v>
      </c>
      <c r="E377" s="331">
        <v>347089531</v>
      </c>
      <c r="F377" s="331">
        <v>270382</v>
      </c>
      <c r="G377" s="370">
        <f t="shared" si="15"/>
        <v>3.7759006003445067E-6</v>
      </c>
      <c r="H377" s="370">
        <f t="shared" si="16"/>
        <v>1.0898270237182537E-5</v>
      </c>
      <c r="I377" s="331">
        <v>1453118</v>
      </c>
      <c r="J377" s="331">
        <v>0</v>
      </c>
      <c r="K377" s="331">
        <f t="shared" si="17"/>
        <v>1453118</v>
      </c>
      <c r="L377" s="199">
        <v>1.4</v>
      </c>
      <c r="M377" s="199">
        <v>1.07</v>
      </c>
    </row>
    <row r="378" spans="1:13" ht="15" customHeight="1" x14ac:dyDescent="0.25">
      <c r="A378" s="49">
        <v>1996</v>
      </c>
      <c r="B378" s="330" t="s">
        <v>12</v>
      </c>
      <c r="C378" s="331">
        <v>77906432403</v>
      </c>
      <c r="D378" s="331">
        <v>25823004738</v>
      </c>
      <c r="E378" s="331">
        <v>351912838</v>
      </c>
      <c r="F378" s="331">
        <v>283558</v>
      </c>
      <c r="G378" s="370">
        <f t="shared" si="15"/>
        <v>3.6397251324921513E-6</v>
      </c>
      <c r="H378" s="370">
        <f t="shared" si="16"/>
        <v>1.0980829027333465E-5</v>
      </c>
      <c r="I378" s="331">
        <v>1634073</v>
      </c>
      <c r="J378" s="331">
        <v>0</v>
      </c>
      <c r="K378" s="331">
        <f t="shared" si="17"/>
        <v>1634073</v>
      </c>
      <c r="L378" s="199">
        <v>1.36</v>
      </c>
      <c r="M378" s="199">
        <v>0.96</v>
      </c>
    </row>
    <row r="379" spans="1:13" ht="15" customHeight="1" x14ac:dyDescent="0.25">
      <c r="A379" s="49">
        <v>1997</v>
      </c>
      <c r="B379" s="330" t="s">
        <v>12</v>
      </c>
      <c r="C379" s="331">
        <v>84325038846</v>
      </c>
      <c r="D379" s="331">
        <v>27146179797</v>
      </c>
      <c r="E379" s="331">
        <v>313980529</v>
      </c>
      <c r="F379" s="331">
        <v>268708</v>
      </c>
      <c r="G379" s="370">
        <f t="shared" si="15"/>
        <v>3.1865742806324994E-6</v>
      </c>
      <c r="H379" s="370">
        <f t="shared" si="16"/>
        <v>9.8985567033522579E-6</v>
      </c>
      <c r="I379" s="331">
        <v>1797102</v>
      </c>
      <c r="J379" s="331">
        <v>0</v>
      </c>
      <c r="K379" s="331">
        <f t="shared" si="17"/>
        <v>1797102</v>
      </c>
      <c r="L379" s="199">
        <v>1.1599999999999999</v>
      </c>
      <c r="M379" s="199">
        <v>0.96</v>
      </c>
    </row>
    <row r="380" spans="1:13" ht="15" customHeight="1" x14ac:dyDescent="0.25">
      <c r="A380" s="49">
        <v>1998</v>
      </c>
      <c r="B380" s="330" t="s">
        <v>12</v>
      </c>
      <c r="C380" s="331">
        <v>94383043860</v>
      </c>
      <c r="D380" s="331">
        <v>28909495859</v>
      </c>
      <c r="E380" s="331">
        <v>284476580</v>
      </c>
      <c r="F380" s="331">
        <v>239754</v>
      </c>
      <c r="G380" s="370">
        <f t="shared" si="15"/>
        <v>2.5402232243710138E-6</v>
      </c>
      <c r="H380" s="370">
        <f t="shared" si="16"/>
        <v>8.2932611889653771E-6</v>
      </c>
      <c r="I380" s="331">
        <v>1955670</v>
      </c>
      <c r="J380" s="331">
        <v>0</v>
      </c>
      <c r="K380" s="331">
        <f t="shared" si="17"/>
        <v>1955670</v>
      </c>
      <c r="L380" s="199">
        <v>0.98</v>
      </c>
      <c r="M380" s="199">
        <v>0.96</v>
      </c>
    </row>
    <row r="381" spans="1:13" ht="15" customHeight="1" x14ac:dyDescent="0.25">
      <c r="A381" s="49">
        <v>1999</v>
      </c>
      <c r="B381" s="330" t="s">
        <v>12</v>
      </c>
      <c r="C381" s="331">
        <v>101703800617</v>
      </c>
      <c r="D381" s="331">
        <v>30682801260</v>
      </c>
      <c r="E381" s="331">
        <v>138407409</v>
      </c>
      <c r="F381" s="331">
        <v>272342</v>
      </c>
      <c r="G381" s="370">
        <f t="shared" si="15"/>
        <v>2.6777957003356814E-6</v>
      </c>
      <c r="H381" s="370">
        <f t="shared" si="16"/>
        <v>8.8760474538236475E-6</v>
      </c>
      <c r="I381" s="331">
        <v>1964336</v>
      </c>
      <c r="J381" s="331">
        <v>0</v>
      </c>
      <c r="K381" s="331">
        <f t="shared" si="17"/>
        <v>1964336</v>
      </c>
      <c r="L381" s="199">
        <v>0.45</v>
      </c>
      <c r="M381" s="199">
        <v>0.96</v>
      </c>
    </row>
    <row r="382" spans="1:13" ht="15" customHeight="1" x14ac:dyDescent="0.25">
      <c r="A382" s="49">
        <v>2000</v>
      </c>
      <c r="B382" s="330" t="s">
        <v>12</v>
      </c>
      <c r="C382" s="331">
        <v>110470130459</v>
      </c>
      <c r="D382" s="331">
        <v>32079401987</v>
      </c>
      <c r="E382" s="331">
        <v>151969062</v>
      </c>
      <c r="F382" s="331">
        <v>306832</v>
      </c>
      <c r="G382" s="370">
        <f t="shared" si="15"/>
        <v>2.7775109771765678E-6</v>
      </c>
      <c r="H382" s="370">
        <f t="shared" si="16"/>
        <v>9.5647668283948044E-6</v>
      </c>
      <c r="I382" s="331">
        <v>1906548</v>
      </c>
      <c r="J382" s="331">
        <v>0</v>
      </c>
      <c r="K382" s="331">
        <f t="shared" si="17"/>
        <v>1906548</v>
      </c>
      <c r="L382" s="199">
        <v>0.47</v>
      </c>
      <c r="M382" s="199">
        <v>0.96</v>
      </c>
    </row>
    <row r="383" spans="1:13" ht="15" customHeight="1" x14ac:dyDescent="0.25">
      <c r="A383" s="49">
        <v>2001</v>
      </c>
      <c r="B383" s="330" t="s">
        <v>12</v>
      </c>
      <c r="C383" s="331">
        <v>112376775336</v>
      </c>
      <c r="D383" s="331">
        <v>31513976011</v>
      </c>
      <c r="E383" s="331">
        <v>160612548</v>
      </c>
      <c r="F383" s="331">
        <v>592872</v>
      </c>
      <c r="G383" s="370">
        <f t="shared" si="15"/>
        <v>5.2757520246273956E-6</v>
      </c>
      <c r="H383" s="370">
        <f t="shared" si="16"/>
        <v>1.8812986333208388E-5</v>
      </c>
      <c r="I383" s="331">
        <v>1542375</v>
      </c>
      <c r="J383" s="331">
        <v>0</v>
      </c>
      <c r="K383" s="331">
        <f t="shared" si="17"/>
        <v>1542375</v>
      </c>
      <c r="L383" s="199">
        <v>0.51</v>
      </c>
      <c r="M383" s="199">
        <v>0.94</v>
      </c>
    </row>
    <row r="384" spans="1:13" ht="15" customHeight="1" x14ac:dyDescent="0.25">
      <c r="A384" s="49">
        <v>2002</v>
      </c>
      <c r="B384" s="330" t="s">
        <v>12</v>
      </c>
      <c r="C384" s="331">
        <v>110970512118</v>
      </c>
      <c r="D384" s="331">
        <v>30564869117</v>
      </c>
      <c r="E384" s="331">
        <v>161213171</v>
      </c>
      <c r="F384" s="331">
        <v>759529</v>
      </c>
      <c r="G384" s="370">
        <f t="shared" si="15"/>
        <v>6.8444218694093995E-6</v>
      </c>
      <c r="H384" s="370">
        <f t="shared" si="16"/>
        <v>2.4849738341511644E-5</v>
      </c>
      <c r="I384" s="331">
        <v>1245928</v>
      </c>
      <c r="J384" s="331">
        <v>0</v>
      </c>
      <c r="K384" s="331">
        <f t="shared" si="17"/>
        <v>1245928</v>
      </c>
      <c r="L384" s="199">
        <v>0.52</v>
      </c>
      <c r="M384" s="199">
        <v>0.94</v>
      </c>
    </row>
    <row r="385" spans="1:13" ht="15" customHeight="1" x14ac:dyDescent="0.25">
      <c r="A385" s="49">
        <v>2003</v>
      </c>
      <c r="B385" s="330" t="s">
        <v>12</v>
      </c>
      <c r="C385" s="331">
        <v>112132911827</v>
      </c>
      <c r="D385" s="331">
        <v>30139592640</v>
      </c>
      <c r="E385" s="331">
        <v>167636531</v>
      </c>
      <c r="F385" s="331">
        <v>729739</v>
      </c>
      <c r="G385" s="370">
        <f t="shared" si="15"/>
        <v>6.5078038919193505E-6</v>
      </c>
      <c r="H385" s="370">
        <f t="shared" si="16"/>
        <v>2.4211972892809475E-5</v>
      </c>
      <c r="I385" s="331">
        <v>702911</v>
      </c>
      <c r="J385" s="331">
        <v>0</v>
      </c>
      <c r="K385" s="331">
        <f t="shared" si="17"/>
        <v>702911</v>
      </c>
      <c r="L385" s="199">
        <v>0.56000000000000005</v>
      </c>
      <c r="M385" s="199">
        <v>0.94</v>
      </c>
    </row>
    <row r="386" spans="1:13" x14ac:dyDescent="0.25">
      <c r="A386" s="49">
        <v>2004</v>
      </c>
      <c r="B386" s="330" t="s">
        <v>12</v>
      </c>
      <c r="C386" s="331">
        <v>118118711625</v>
      </c>
      <c r="D386" s="331">
        <v>30912512937</v>
      </c>
      <c r="E386" s="331">
        <v>742166529</v>
      </c>
      <c r="F386" s="331">
        <v>559429</v>
      </c>
      <c r="G386" s="370">
        <f t="shared" ref="G386:G449" si="18">F386/C386</f>
        <v>4.7361590073557493E-6</v>
      </c>
      <c r="H386" s="370">
        <f t="shared" ref="H386:H449" si="19">F386/D386</f>
        <v>1.8097169943450462E-5</v>
      </c>
      <c r="I386" s="331">
        <v>869518</v>
      </c>
      <c r="J386" s="331">
        <v>0</v>
      </c>
      <c r="K386" s="331">
        <f t="shared" ref="K386:K449" si="20">I386-J386</f>
        <v>869518</v>
      </c>
      <c r="L386" s="199">
        <v>2.4</v>
      </c>
      <c r="M386" s="199">
        <v>0.94</v>
      </c>
    </row>
    <row r="387" spans="1:13" ht="15" customHeight="1" x14ac:dyDescent="0.25">
      <c r="A387" s="49">
        <v>2005</v>
      </c>
      <c r="B387" s="330" t="s">
        <v>12</v>
      </c>
      <c r="C387" s="331">
        <v>125066592040</v>
      </c>
      <c r="D387" s="331">
        <v>31844214663</v>
      </c>
      <c r="E387" s="331">
        <v>686222270</v>
      </c>
      <c r="F387" s="331">
        <v>502072</v>
      </c>
      <c r="G387" s="370">
        <f t="shared" si="18"/>
        <v>4.0144373634121452E-6</v>
      </c>
      <c r="H387" s="370">
        <f t="shared" si="19"/>
        <v>1.5766505951341947E-5</v>
      </c>
      <c r="I387" s="331">
        <v>1118340</v>
      </c>
      <c r="J387" s="331">
        <v>0</v>
      </c>
      <c r="K387" s="331">
        <f t="shared" si="20"/>
        <v>1118340</v>
      </c>
      <c r="L387" s="199">
        <v>2.15</v>
      </c>
      <c r="M387" s="199">
        <v>0.94</v>
      </c>
    </row>
    <row r="388" spans="1:13" ht="15" customHeight="1" x14ac:dyDescent="0.25">
      <c r="A388" s="49">
        <v>2006</v>
      </c>
      <c r="B388" s="330" t="s">
        <v>12</v>
      </c>
      <c r="C388" s="331">
        <v>132175313569</v>
      </c>
      <c r="D388" s="331">
        <v>33021444652</v>
      </c>
      <c r="E388" s="331">
        <v>613497750</v>
      </c>
      <c r="F388" s="331">
        <v>515791</v>
      </c>
      <c r="G388" s="370">
        <f t="shared" si="18"/>
        <v>3.902324769070736E-6</v>
      </c>
      <c r="H388" s="370">
        <f t="shared" si="19"/>
        <v>1.5619879912454413E-5</v>
      </c>
      <c r="I388" s="331">
        <v>1272514</v>
      </c>
      <c r="J388" s="331">
        <v>0</v>
      </c>
      <c r="K388" s="331">
        <f t="shared" si="20"/>
        <v>1272514</v>
      </c>
      <c r="L388" s="199">
        <v>1.86</v>
      </c>
      <c r="M388" s="199">
        <v>0.94</v>
      </c>
    </row>
    <row r="389" spans="1:13" ht="15" customHeight="1" x14ac:dyDescent="0.25">
      <c r="A389" s="49">
        <v>2007</v>
      </c>
      <c r="B389" s="330" t="s">
        <v>12</v>
      </c>
      <c r="C389" s="331">
        <v>139917927851</v>
      </c>
      <c r="D389" s="331">
        <v>33555833263</v>
      </c>
      <c r="E389" s="331">
        <v>518253463</v>
      </c>
      <c r="F389" s="331">
        <v>559031</v>
      </c>
      <c r="G389" s="370">
        <f t="shared" si="18"/>
        <v>3.9954208055119119E-6</v>
      </c>
      <c r="H389" s="370">
        <f t="shared" si="19"/>
        <v>1.6659726361687758E-5</v>
      </c>
      <c r="I389" s="331">
        <v>1281787</v>
      </c>
      <c r="J389" s="331">
        <v>0</v>
      </c>
      <c r="K389" s="331">
        <f t="shared" si="20"/>
        <v>1281787</v>
      </c>
      <c r="L389" s="199">
        <v>1.54</v>
      </c>
      <c r="M389" s="199">
        <v>0.94</v>
      </c>
    </row>
    <row r="390" spans="1:13" ht="15" customHeight="1" x14ac:dyDescent="0.25">
      <c r="A390" s="49">
        <v>2008</v>
      </c>
      <c r="B390" s="330" t="s">
        <v>12</v>
      </c>
      <c r="C390" s="331">
        <v>138093092331</v>
      </c>
      <c r="D390" s="331">
        <v>32448298197</v>
      </c>
      <c r="E390" s="331">
        <v>484533278</v>
      </c>
      <c r="F390" s="331">
        <v>917418</v>
      </c>
      <c r="G390" s="370">
        <f t="shared" si="18"/>
        <v>6.6434749523966763E-6</v>
      </c>
      <c r="H390" s="370">
        <f t="shared" si="19"/>
        <v>2.8273223896987598E-5</v>
      </c>
      <c r="I390" s="331">
        <v>909805</v>
      </c>
      <c r="J390" s="331">
        <v>0</v>
      </c>
      <c r="K390" s="331">
        <f t="shared" si="20"/>
        <v>909805</v>
      </c>
      <c r="L390" s="199">
        <v>1.5</v>
      </c>
      <c r="M390" s="199">
        <v>0.94</v>
      </c>
    </row>
    <row r="391" spans="1:13" ht="15" customHeight="1" x14ac:dyDescent="0.25">
      <c r="A391" s="49">
        <v>2009</v>
      </c>
      <c r="B391" s="330" t="s">
        <v>12</v>
      </c>
      <c r="C391" s="331">
        <v>128932341309</v>
      </c>
      <c r="D391" s="331">
        <v>29767852639</v>
      </c>
      <c r="E391" s="331">
        <v>491169226</v>
      </c>
      <c r="F391" s="331">
        <v>1657492</v>
      </c>
      <c r="G391" s="370">
        <f t="shared" si="18"/>
        <v>1.2855517732572971E-5</v>
      </c>
      <c r="H391" s="370">
        <f t="shared" si="19"/>
        <v>5.5680603505422369E-5</v>
      </c>
      <c r="I391" s="331">
        <v>18045</v>
      </c>
      <c r="J391" s="331">
        <v>70000</v>
      </c>
      <c r="K391" s="331">
        <f t="shared" si="20"/>
        <v>-51955</v>
      </c>
      <c r="L391" s="199">
        <v>1.6</v>
      </c>
      <c r="M391" s="199">
        <v>0.94</v>
      </c>
    </row>
    <row r="392" spans="1:13" ht="15" customHeight="1" x14ac:dyDescent="0.25">
      <c r="A392" s="49">
        <v>2010</v>
      </c>
      <c r="B392" s="330" t="s">
        <v>12</v>
      </c>
      <c r="C392" s="331">
        <v>130721126423</v>
      </c>
      <c r="D392" s="331">
        <v>29695475473</v>
      </c>
      <c r="E392" s="331">
        <v>653672130</v>
      </c>
      <c r="F392" s="331">
        <v>1089577</v>
      </c>
      <c r="G392" s="370">
        <f t="shared" si="18"/>
        <v>8.3351255440856735E-6</v>
      </c>
      <c r="H392" s="370">
        <f t="shared" si="19"/>
        <v>3.6691683923050007E-5</v>
      </c>
      <c r="I392" s="331">
        <v>19887</v>
      </c>
      <c r="J392" s="331">
        <v>532500</v>
      </c>
      <c r="K392" s="331">
        <f t="shared" si="20"/>
        <v>-512613</v>
      </c>
      <c r="L392" s="199">
        <v>2.2000000000000002</v>
      </c>
      <c r="M392" s="199">
        <v>0.99</v>
      </c>
    </row>
    <row r="393" spans="1:13" ht="15" customHeight="1" x14ac:dyDescent="0.25">
      <c r="A393" s="49">
        <v>2011</v>
      </c>
      <c r="B393" s="330" t="s">
        <v>12</v>
      </c>
      <c r="C393" s="331">
        <v>136774813209</v>
      </c>
      <c r="D393" s="331">
        <v>30477732827</v>
      </c>
      <c r="E393" s="331">
        <v>763696212</v>
      </c>
      <c r="F393" s="331">
        <v>873186</v>
      </c>
      <c r="G393" s="370">
        <f t="shared" si="18"/>
        <v>6.3841140010604162E-6</v>
      </c>
      <c r="H393" s="370">
        <f t="shared" si="19"/>
        <v>2.8649965696478936E-5</v>
      </c>
      <c r="I393" s="331">
        <v>89763</v>
      </c>
      <c r="J393" s="331">
        <v>721080</v>
      </c>
      <c r="K393" s="331">
        <f t="shared" si="20"/>
        <v>-631317</v>
      </c>
      <c r="L393" s="199">
        <v>2.5</v>
      </c>
      <c r="M393" s="199">
        <v>0.99</v>
      </c>
    </row>
    <row r="394" spans="1:13" ht="15" customHeight="1" x14ac:dyDescent="0.25">
      <c r="A394" s="49">
        <v>2012</v>
      </c>
      <c r="B394" s="330" t="s">
        <v>12</v>
      </c>
      <c r="C394" s="331">
        <v>143556246367</v>
      </c>
      <c r="D394" s="331">
        <v>31149464675</v>
      </c>
      <c r="E394" s="331">
        <v>837716620</v>
      </c>
      <c r="F394" s="331">
        <v>774081</v>
      </c>
      <c r="G394" s="370">
        <f t="shared" si="18"/>
        <v>5.392179160362484E-6</v>
      </c>
      <c r="H394" s="370">
        <f t="shared" si="19"/>
        <v>2.4850539425843279E-5</v>
      </c>
      <c r="I394" s="331">
        <v>29935</v>
      </c>
      <c r="J394" s="331">
        <v>550452</v>
      </c>
      <c r="K394" s="331">
        <f t="shared" si="20"/>
        <v>-520517</v>
      </c>
      <c r="L394" s="199">
        <v>2.69</v>
      </c>
      <c r="M394" s="199">
        <v>0.99</v>
      </c>
    </row>
    <row r="395" spans="1:13" ht="15" customHeight="1" x14ac:dyDescent="0.25">
      <c r="A395" s="49">
        <v>2013</v>
      </c>
      <c r="B395" s="330" t="s">
        <v>12</v>
      </c>
      <c r="C395" s="331">
        <v>148914158713</v>
      </c>
      <c r="D395" s="331">
        <v>35063894710</v>
      </c>
      <c r="E395" s="331">
        <v>892484586</v>
      </c>
      <c r="F395" s="331">
        <v>622222</v>
      </c>
      <c r="G395" s="370">
        <f t="shared" si="18"/>
        <v>4.1783938167974952E-6</v>
      </c>
      <c r="H395" s="370">
        <f t="shared" si="19"/>
        <v>1.7745376123963383E-5</v>
      </c>
      <c r="I395" s="331">
        <v>26499</v>
      </c>
      <c r="J395" s="331">
        <v>145251</v>
      </c>
      <c r="K395" s="331">
        <f t="shared" si="20"/>
        <v>-118752</v>
      </c>
      <c r="L395" s="199">
        <v>2.5499999999999998</v>
      </c>
      <c r="M395" s="199">
        <v>0.99</v>
      </c>
    </row>
    <row r="396" spans="1:13" ht="15" customHeight="1" x14ac:dyDescent="0.25">
      <c r="A396" s="49">
        <v>2014</v>
      </c>
      <c r="B396" s="330" t="s">
        <v>12</v>
      </c>
      <c r="C396" s="331">
        <v>158623386623</v>
      </c>
      <c r="D396" s="331">
        <v>36668148620</v>
      </c>
      <c r="E396" s="331">
        <v>856216290</v>
      </c>
      <c r="F396" s="331">
        <v>474420</v>
      </c>
      <c r="G396" s="370">
        <f t="shared" si="18"/>
        <v>2.9908578432230387E-6</v>
      </c>
      <c r="H396" s="370">
        <f t="shared" si="19"/>
        <v>1.2938204350498239E-5</v>
      </c>
      <c r="I396" s="331">
        <v>495147</v>
      </c>
      <c r="J396" s="331">
        <v>0</v>
      </c>
      <c r="K396" s="331">
        <f t="shared" si="20"/>
        <v>495147</v>
      </c>
      <c r="L396" s="333">
        <v>2.3350409612253831</v>
      </c>
      <c r="M396" s="199">
        <v>0.99</v>
      </c>
    </row>
    <row r="397" spans="1:13" ht="15" customHeight="1" x14ac:dyDescent="0.25">
      <c r="A397" s="49">
        <v>2015</v>
      </c>
      <c r="B397" s="330" t="s">
        <v>12</v>
      </c>
      <c r="C397" s="334">
        <v>168683942000</v>
      </c>
      <c r="D397" s="334">
        <v>38662317000</v>
      </c>
      <c r="E397" s="334">
        <v>804797000</v>
      </c>
      <c r="F397" s="331">
        <v>381811</v>
      </c>
      <c r="G397" s="370">
        <f t="shared" si="18"/>
        <v>2.2634697498354645E-6</v>
      </c>
      <c r="H397" s="370">
        <f t="shared" si="19"/>
        <v>9.8755333261583889E-6</v>
      </c>
      <c r="I397" s="331">
        <v>941924</v>
      </c>
      <c r="J397" s="199">
        <v>0</v>
      </c>
      <c r="K397" s="331">
        <f t="shared" si="20"/>
        <v>941924</v>
      </c>
      <c r="L397" s="199">
        <v>2.1</v>
      </c>
      <c r="M397" s="199">
        <v>0.99</v>
      </c>
    </row>
    <row r="398" spans="1:13" ht="15" customHeight="1" x14ac:dyDescent="0.25">
      <c r="A398" s="49">
        <v>1980</v>
      </c>
      <c r="B398" s="330" t="s">
        <v>13</v>
      </c>
      <c r="C398" s="331">
        <v>3937160119</v>
      </c>
      <c r="D398" s="331">
        <v>2689241049</v>
      </c>
      <c r="E398" s="331">
        <v>56019996</v>
      </c>
      <c r="F398" s="331">
        <v>40991</v>
      </c>
      <c r="G398" s="370">
        <f t="shared" si="18"/>
        <v>1.0411311392235506E-5</v>
      </c>
      <c r="H398" s="370">
        <f t="shared" si="19"/>
        <v>1.524259047557027E-5</v>
      </c>
      <c r="I398" s="331">
        <v>105102</v>
      </c>
      <c r="J398" s="331">
        <v>0</v>
      </c>
      <c r="K398" s="331">
        <f t="shared" si="20"/>
        <v>105102</v>
      </c>
      <c r="L398" s="199">
        <v>2.08</v>
      </c>
      <c r="M398" s="199">
        <v>1.93</v>
      </c>
    </row>
    <row r="399" spans="1:13" ht="15" customHeight="1" x14ac:dyDescent="0.25">
      <c r="A399" s="49">
        <v>1981</v>
      </c>
      <c r="B399" s="330" t="s">
        <v>13</v>
      </c>
      <c r="C399" s="331">
        <v>4228008205</v>
      </c>
      <c r="D399" s="331">
        <v>2920919397</v>
      </c>
      <c r="E399" s="331">
        <v>52181137</v>
      </c>
      <c r="F399" s="331">
        <v>57071</v>
      </c>
      <c r="G399" s="370">
        <f t="shared" si="18"/>
        <v>1.3498318175567496E-5</v>
      </c>
      <c r="H399" s="370">
        <f t="shared" si="19"/>
        <v>1.9538711016338256E-5</v>
      </c>
      <c r="I399" s="331">
        <v>112415</v>
      </c>
      <c r="J399" s="331">
        <v>0</v>
      </c>
      <c r="K399" s="331">
        <f t="shared" si="20"/>
        <v>112415</v>
      </c>
      <c r="L399" s="199">
        <v>1.79</v>
      </c>
      <c r="M399" s="199">
        <v>1.93</v>
      </c>
    </row>
    <row r="400" spans="1:13" ht="15" customHeight="1" x14ac:dyDescent="0.25">
      <c r="A400" s="49">
        <v>1982</v>
      </c>
      <c r="B400" s="330" t="s">
        <v>13</v>
      </c>
      <c r="C400" s="331">
        <v>4344503796</v>
      </c>
      <c r="D400" s="331">
        <v>3024829503</v>
      </c>
      <c r="E400" s="331">
        <v>56027814</v>
      </c>
      <c r="F400" s="331">
        <v>70974</v>
      </c>
      <c r="G400" s="370">
        <f t="shared" si="18"/>
        <v>1.6336503161844632E-5</v>
      </c>
      <c r="H400" s="370">
        <f t="shared" si="19"/>
        <v>2.3463801820766625E-5</v>
      </c>
      <c r="I400" s="331">
        <v>108019</v>
      </c>
      <c r="J400" s="331">
        <v>0</v>
      </c>
      <c r="K400" s="331">
        <f t="shared" si="20"/>
        <v>108019</v>
      </c>
      <c r="L400" s="199">
        <v>1.85</v>
      </c>
      <c r="M400" s="199">
        <v>1.93</v>
      </c>
    </row>
    <row r="401" spans="1:13" ht="15" customHeight="1" x14ac:dyDescent="0.25">
      <c r="A401" s="49">
        <v>1983</v>
      </c>
      <c r="B401" s="330" t="s">
        <v>13</v>
      </c>
      <c r="C401" s="331">
        <v>4600156208</v>
      </c>
      <c r="D401" s="331">
        <v>3198062518</v>
      </c>
      <c r="E401" s="331">
        <v>73858666</v>
      </c>
      <c r="F401" s="331">
        <v>60791</v>
      </c>
      <c r="G401" s="370">
        <f t="shared" si="18"/>
        <v>1.3214986024665882E-5</v>
      </c>
      <c r="H401" s="370">
        <f t="shared" si="19"/>
        <v>1.9008696564824316E-5</v>
      </c>
      <c r="I401" s="331">
        <v>126304</v>
      </c>
      <c r="J401" s="331">
        <v>0</v>
      </c>
      <c r="K401" s="331">
        <f t="shared" si="20"/>
        <v>126304</v>
      </c>
      <c r="L401" s="199">
        <v>2.31</v>
      </c>
      <c r="M401" s="199">
        <v>1.93</v>
      </c>
    </row>
    <row r="402" spans="1:13" ht="15" customHeight="1" x14ac:dyDescent="0.25">
      <c r="A402" s="49">
        <v>1984</v>
      </c>
      <c r="B402" s="330" t="s">
        <v>13</v>
      </c>
      <c r="C402" s="331">
        <v>4893071573</v>
      </c>
      <c r="D402" s="331">
        <v>3432277920</v>
      </c>
      <c r="E402" s="331">
        <v>65473805</v>
      </c>
      <c r="F402" s="331">
        <v>63099</v>
      </c>
      <c r="G402" s="370">
        <f t="shared" si="18"/>
        <v>1.2895580834782938E-5</v>
      </c>
      <c r="H402" s="370">
        <f t="shared" si="19"/>
        <v>1.838400079210369E-5</v>
      </c>
      <c r="I402" s="331">
        <v>145983</v>
      </c>
      <c r="J402" s="331">
        <v>0</v>
      </c>
      <c r="K402" s="331">
        <f t="shared" si="20"/>
        <v>145983</v>
      </c>
      <c r="L402" s="199">
        <v>1.91</v>
      </c>
      <c r="M402" s="199">
        <v>1.93</v>
      </c>
    </row>
    <row r="403" spans="1:13" ht="15" customHeight="1" x14ac:dyDescent="0.25">
      <c r="A403" s="49">
        <v>1985</v>
      </c>
      <c r="B403" s="330" t="s">
        <v>13</v>
      </c>
      <c r="C403" s="331">
        <v>5239553269</v>
      </c>
      <c r="D403" s="331">
        <v>3662899628</v>
      </c>
      <c r="E403" s="331">
        <v>58863124</v>
      </c>
      <c r="F403" s="331">
        <v>53973</v>
      </c>
      <c r="G403" s="370">
        <f t="shared" si="18"/>
        <v>1.0301069047113833E-5</v>
      </c>
      <c r="H403" s="370">
        <f t="shared" si="19"/>
        <v>1.4735047498276685E-5</v>
      </c>
      <c r="I403" s="331">
        <v>168082</v>
      </c>
      <c r="J403" s="331">
        <v>0</v>
      </c>
      <c r="K403" s="331">
        <f t="shared" si="20"/>
        <v>168082</v>
      </c>
      <c r="L403" s="199">
        <v>1.61</v>
      </c>
      <c r="M403" s="199">
        <v>1.93</v>
      </c>
    </row>
    <row r="404" spans="1:13" ht="15" customHeight="1" x14ac:dyDescent="0.25">
      <c r="A404" s="49">
        <v>1986</v>
      </c>
      <c r="B404" s="330" t="s">
        <v>13</v>
      </c>
      <c r="C404" s="331">
        <v>5728374726</v>
      </c>
      <c r="D404" s="331">
        <v>3930924709</v>
      </c>
      <c r="E404" s="331">
        <v>66194166</v>
      </c>
      <c r="F404" s="331">
        <v>48995</v>
      </c>
      <c r="G404" s="370">
        <f t="shared" si="18"/>
        <v>8.5530368286873836E-6</v>
      </c>
      <c r="H404" s="370">
        <f t="shared" si="19"/>
        <v>1.246398840655078E-5</v>
      </c>
      <c r="I404" s="331">
        <v>201732</v>
      </c>
      <c r="J404" s="331">
        <v>0</v>
      </c>
      <c r="K404" s="331">
        <f t="shared" si="20"/>
        <v>201732</v>
      </c>
      <c r="L404" s="199">
        <v>1.68</v>
      </c>
      <c r="M404" s="199">
        <v>1.93</v>
      </c>
    </row>
    <row r="405" spans="1:13" ht="15" customHeight="1" x14ac:dyDescent="0.25">
      <c r="A405" s="49">
        <v>1987</v>
      </c>
      <c r="B405" s="330" t="s">
        <v>13</v>
      </c>
      <c r="C405" s="331">
        <v>6401716836</v>
      </c>
      <c r="D405" s="331">
        <v>4388697390</v>
      </c>
      <c r="E405" s="331">
        <v>76277802</v>
      </c>
      <c r="F405" s="331">
        <v>43496</v>
      </c>
      <c r="G405" s="370">
        <f t="shared" si="18"/>
        <v>6.7944273566429271E-6</v>
      </c>
      <c r="H405" s="370">
        <f t="shared" si="19"/>
        <v>9.9109134521576112E-6</v>
      </c>
      <c r="I405" s="331">
        <v>253904</v>
      </c>
      <c r="J405" s="331">
        <v>0</v>
      </c>
      <c r="K405" s="331">
        <f t="shared" si="20"/>
        <v>253904</v>
      </c>
      <c r="L405" s="199">
        <v>1.74</v>
      </c>
      <c r="M405" s="199">
        <v>1.93</v>
      </c>
    </row>
    <row r="406" spans="1:13" ht="15" customHeight="1" x14ac:dyDescent="0.25">
      <c r="A406" s="49">
        <v>1988</v>
      </c>
      <c r="B406" s="330" t="s">
        <v>13</v>
      </c>
      <c r="C406" s="331">
        <v>7557582256</v>
      </c>
      <c r="D406" s="331">
        <v>3305279470</v>
      </c>
      <c r="E406" s="331">
        <v>41953029</v>
      </c>
      <c r="F406" s="331">
        <v>44179</v>
      </c>
      <c r="G406" s="370">
        <f t="shared" si="18"/>
        <v>5.8456525517702546E-6</v>
      </c>
      <c r="H406" s="370">
        <f t="shared" si="19"/>
        <v>1.3366191997071884E-5</v>
      </c>
      <c r="I406" s="331">
        <v>285188</v>
      </c>
      <c r="J406" s="331">
        <v>0</v>
      </c>
      <c r="K406" s="331">
        <f t="shared" si="20"/>
        <v>285188</v>
      </c>
      <c r="L406" s="199">
        <v>1.27</v>
      </c>
      <c r="M406" s="199">
        <v>1.93</v>
      </c>
    </row>
    <row r="407" spans="1:13" ht="15" customHeight="1" x14ac:dyDescent="0.25">
      <c r="A407" s="49">
        <v>1989</v>
      </c>
      <c r="B407" s="330" t="s">
        <v>13</v>
      </c>
      <c r="C407" s="331">
        <v>9168860838</v>
      </c>
      <c r="D407" s="331">
        <v>5518072570</v>
      </c>
      <c r="E407" s="331">
        <v>69561813</v>
      </c>
      <c r="F407" s="331">
        <v>35357</v>
      </c>
      <c r="G407" s="370">
        <f t="shared" si="18"/>
        <v>3.8562042356956976E-6</v>
      </c>
      <c r="H407" s="370">
        <f t="shared" si="19"/>
        <v>6.4074909402650356E-6</v>
      </c>
      <c r="I407" s="331">
        <v>339810</v>
      </c>
      <c r="J407" s="331">
        <v>0</v>
      </c>
      <c r="K407" s="331">
        <f t="shared" si="20"/>
        <v>339810</v>
      </c>
      <c r="L407" s="199">
        <v>1.26</v>
      </c>
      <c r="M407" s="199">
        <v>1.93</v>
      </c>
    </row>
    <row r="408" spans="1:13" ht="15" customHeight="1" x14ac:dyDescent="0.25">
      <c r="A408" s="49">
        <v>1990</v>
      </c>
      <c r="B408" s="330" t="s">
        <v>13</v>
      </c>
      <c r="C408" s="331">
        <v>9329946462</v>
      </c>
      <c r="D408" s="331">
        <v>6228108191</v>
      </c>
      <c r="E408" s="331">
        <v>80119597</v>
      </c>
      <c r="F408" s="331">
        <v>45126</v>
      </c>
      <c r="G408" s="370">
        <f t="shared" si="18"/>
        <v>4.8366837027194081E-6</v>
      </c>
      <c r="H408" s="370">
        <f t="shared" si="19"/>
        <v>7.2455388724958005E-6</v>
      </c>
      <c r="I408" s="331">
        <v>407696</v>
      </c>
      <c r="J408" s="331">
        <v>0</v>
      </c>
      <c r="K408" s="331">
        <f t="shared" si="20"/>
        <v>407696</v>
      </c>
      <c r="L408" s="199">
        <v>1.29</v>
      </c>
      <c r="M408" s="199">
        <v>1.93</v>
      </c>
    </row>
    <row r="409" spans="1:13" ht="15" customHeight="1" x14ac:dyDescent="0.25">
      <c r="A409" s="49">
        <v>1991</v>
      </c>
      <c r="B409" s="330" t="s">
        <v>13</v>
      </c>
      <c r="C409" s="331">
        <v>9594266532</v>
      </c>
      <c r="D409" s="331">
        <v>3339002701</v>
      </c>
      <c r="E409" s="331">
        <v>44850728</v>
      </c>
      <c r="F409" s="331">
        <v>76036</v>
      </c>
      <c r="G409" s="370">
        <f t="shared" si="18"/>
        <v>7.9251498534458274E-6</v>
      </c>
      <c r="H409" s="370">
        <f t="shared" si="19"/>
        <v>2.2772069030440714E-5</v>
      </c>
      <c r="I409" s="331">
        <v>420991</v>
      </c>
      <c r="J409" s="331">
        <v>0</v>
      </c>
      <c r="K409" s="331">
        <f t="shared" si="20"/>
        <v>420991</v>
      </c>
      <c r="L409" s="199">
        <v>1.34</v>
      </c>
      <c r="M409" s="199">
        <v>1.93</v>
      </c>
    </row>
    <row r="410" spans="1:13" ht="15" customHeight="1" x14ac:dyDescent="0.25">
      <c r="A410" s="49">
        <v>1992</v>
      </c>
      <c r="B410" s="330" t="s">
        <v>13</v>
      </c>
      <c r="C410" s="331">
        <v>10154831424</v>
      </c>
      <c r="D410" s="331">
        <v>7041890165</v>
      </c>
      <c r="E410" s="331">
        <v>42810428</v>
      </c>
      <c r="F410" s="331">
        <v>130151</v>
      </c>
      <c r="G410" s="370">
        <f t="shared" si="18"/>
        <v>1.2816657861242306E-5</v>
      </c>
      <c r="H410" s="370">
        <f t="shared" si="19"/>
        <v>1.8482395628219798E-5</v>
      </c>
      <c r="I410" s="331">
        <v>362123</v>
      </c>
      <c r="J410" s="331">
        <v>0</v>
      </c>
      <c r="K410" s="331">
        <f t="shared" si="20"/>
        <v>362123</v>
      </c>
      <c r="L410" s="199">
        <v>0.61</v>
      </c>
      <c r="M410" s="199">
        <v>1.93</v>
      </c>
    </row>
    <row r="411" spans="1:13" ht="15" customHeight="1" x14ac:dyDescent="0.25">
      <c r="A411" s="49">
        <v>1993</v>
      </c>
      <c r="B411" s="330" t="s">
        <v>13</v>
      </c>
      <c r="C411" s="331">
        <v>10291453027</v>
      </c>
      <c r="D411" s="331">
        <v>7248804637</v>
      </c>
      <c r="E411" s="331">
        <v>71633429</v>
      </c>
      <c r="F411" s="331">
        <v>145380</v>
      </c>
      <c r="G411" s="370">
        <f t="shared" si="18"/>
        <v>1.4126285143467137E-5</v>
      </c>
      <c r="H411" s="370">
        <f t="shared" si="19"/>
        <v>2.0055720533277767E-5</v>
      </c>
      <c r="I411" s="331">
        <v>310155</v>
      </c>
      <c r="J411" s="331">
        <v>0</v>
      </c>
      <c r="K411" s="331">
        <f t="shared" si="20"/>
        <v>310155</v>
      </c>
      <c r="L411" s="199">
        <v>0.99</v>
      </c>
      <c r="M411" s="199">
        <v>1.93</v>
      </c>
    </row>
    <row r="412" spans="1:13" ht="15" customHeight="1" x14ac:dyDescent="0.25">
      <c r="A412" s="49">
        <v>1994</v>
      </c>
      <c r="B412" s="330" t="s">
        <v>13</v>
      </c>
      <c r="C412" s="331">
        <v>10308833570</v>
      </c>
      <c r="D412" s="331">
        <v>7392581878</v>
      </c>
      <c r="E412" s="331">
        <v>78713504</v>
      </c>
      <c r="F412" s="331">
        <v>171681</v>
      </c>
      <c r="G412" s="370">
        <f t="shared" si="18"/>
        <v>1.6653775505660822E-5</v>
      </c>
      <c r="H412" s="370">
        <f t="shared" si="19"/>
        <v>2.3223415422819345E-5</v>
      </c>
      <c r="I412" s="331">
        <v>232859</v>
      </c>
      <c r="J412" s="331">
        <v>0</v>
      </c>
      <c r="K412" s="331">
        <f t="shared" si="20"/>
        <v>232859</v>
      </c>
      <c r="L412" s="199">
        <v>1.06</v>
      </c>
      <c r="M412" s="199">
        <v>1.93</v>
      </c>
    </row>
    <row r="413" spans="1:13" ht="15" customHeight="1" x14ac:dyDescent="0.25">
      <c r="A413" s="49">
        <v>1995</v>
      </c>
      <c r="B413" s="330" t="s">
        <v>13</v>
      </c>
      <c r="C413" s="331">
        <v>10293707439</v>
      </c>
      <c r="D413" s="331">
        <v>7384729766</v>
      </c>
      <c r="E413" s="331">
        <v>165012918</v>
      </c>
      <c r="F413" s="331">
        <v>180435</v>
      </c>
      <c r="G413" s="370">
        <f t="shared" si="18"/>
        <v>1.7528669924733033E-5</v>
      </c>
      <c r="H413" s="370">
        <f t="shared" si="19"/>
        <v>2.4433527795524751E-5</v>
      </c>
      <c r="I413" s="331">
        <v>213496</v>
      </c>
      <c r="J413" s="331">
        <v>0</v>
      </c>
      <c r="K413" s="331">
        <f t="shared" si="20"/>
        <v>213496</v>
      </c>
      <c r="L413" s="199">
        <v>2.23</v>
      </c>
      <c r="M413" s="199">
        <v>1.91</v>
      </c>
    </row>
    <row r="414" spans="1:13" ht="15" customHeight="1" x14ac:dyDescent="0.25">
      <c r="A414" s="49">
        <v>1996</v>
      </c>
      <c r="B414" s="330" t="s">
        <v>13</v>
      </c>
      <c r="C414" s="331">
        <v>10445390636</v>
      </c>
      <c r="D414" s="331">
        <v>7422233967</v>
      </c>
      <c r="E414" s="331">
        <v>152010054</v>
      </c>
      <c r="F414" s="331">
        <v>173196</v>
      </c>
      <c r="G414" s="370">
        <f t="shared" si="18"/>
        <v>1.6581093616841922E-5</v>
      </c>
      <c r="H414" s="370">
        <f t="shared" si="19"/>
        <v>2.3334753494708851E-5</v>
      </c>
      <c r="I414" s="331">
        <v>211267</v>
      </c>
      <c r="J414" s="331">
        <v>0</v>
      </c>
      <c r="K414" s="331">
        <f t="shared" si="20"/>
        <v>211267</v>
      </c>
      <c r="L414" s="199">
        <v>2.0499999999999998</v>
      </c>
      <c r="M414" s="199">
        <v>1.76</v>
      </c>
    </row>
    <row r="415" spans="1:13" ht="15" customHeight="1" x14ac:dyDescent="0.25">
      <c r="A415" s="49">
        <v>1997</v>
      </c>
      <c r="B415" s="330" t="s">
        <v>13</v>
      </c>
      <c r="C415" s="331">
        <v>10743854341</v>
      </c>
      <c r="D415" s="331">
        <v>7466467895</v>
      </c>
      <c r="E415" s="331">
        <v>142901211</v>
      </c>
      <c r="F415" s="331">
        <v>154337</v>
      </c>
      <c r="G415" s="370">
        <f t="shared" si="18"/>
        <v>1.4365142629589565E-5</v>
      </c>
      <c r="H415" s="370">
        <f t="shared" si="19"/>
        <v>2.0670684207100577E-5</v>
      </c>
      <c r="I415" s="331">
        <v>216658</v>
      </c>
      <c r="J415" s="331">
        <v>0</v>
      </c>
      <c r="K415" s="331">
        <f t="shared" si="20"/>
        <v>216658</v>
      </c>
      <c r="L415" s="199">
        <v>1.91</v>
      </c>
      <c r="M415" s="199">
        <v>1.69</v>
      </c>
    </row>
    <row r="416" spans="1:13" ht="15" customHeight="1" x14ac:dyDescent="0.25">
      <c r="A416" s="49">
        <v>1998</v>
      </c>
      <c r="B416" s="330" t="s">
        <v>13</v>
      </c>
      <c r="C416" s="331">
        <v>10919288964</v>
      </c>
      <c r="D416" s="331">
        <v>7583142735</v>
      </c>
      <c r="E416" s="331">
        <v>136838485</v>
      </c>
      <c r="F416" s="331">
        <v>141650</v>
      </c>
      <c r="G416" s="370">
        <f t="shared" si="18"/>
        <v>1.2972456399588694E-5</v>
      </c>
      <c r="H416" s="370">
        <f t="shared" si="19"/>
        <v>1.8679590369071431E-5</v>
      </c>
      <c r="I416" s="331">
        <v>225808</v>
      </c>
      <c r="J416" s="331">
        <v>0</v>
      </c>
      <c r="K416" s="331">
        <f t="shared" si="20"/>
        <v>225808</v>
      </c>
      <c r="L416" s="199">
        <v>1.8</v>
      </c>
      <c r="M416" s="199">
        <v>1.69</v>
      </c>
    </row>
    <row r="417" spans="1:13" ht="15" customHeight="1" x14ac:dyDescent="0.25">
      <c r="A417" s="49">
        <v>1999</v>
      </c>
      <c r="B417" s="330" t="s">
        <v>13</v>
      </c>
      <c r="C417" s="331">
        <v>11196736265</v>
      </c>
      <c r="D417" s="331">
        <v>7752452351</v>
      </c>
      <c r="E417" s="331">
        <v>135187357</v>
      </c>
      <c r="F417" s="331">
        <v>122597</v>
      </c>
      <c r="G417" s="370">
        <f t="shared" si="18"/>
        <v>1.0949351409055449E-5</v>
      </c>
      <c r="H417" s="370">
        <f t="shared" si="19"/>
        <v>1.581396369165507E-5</v>
      </c>
      <c r="I417" s="331">
        <v>250731</v>
      </c>
      <c r="J417" s="331">
        <v>0</v>
      </c>
      <c r="K417" s="331">
        <f t="shared" si="20"/>
        <v>250731</v>
      </c>
      <c r="L417" s="199">
        <v>1.74</v>
      </c>
      <c r="M417" s="199">
        <v>1.69</v>
      </c>
    </row>
    <row r="418" spans="1:13" ht="15" customHeight="1" x14ac:dyDescent="0.25">
      <c r="A418" s="49">
        <v>2000</v>
      </c>
      <c r="B418" s="330" t="s">
        <v>13</v>
      </c>
      <c r="C418" s="331">
        <v>11994035797</v>
      </c>
      <c r="D418" s="331">
        <v>8223003488</v>
      </c>
      <c r="E418" s="331">
        <v>138452759</v>
      </c>
      <c r="F418" s="331">
        <v>95623</v>
      </c>
      <c r="G418" s="370">
        <f t="shared" si="18"/>
        <v>7.972545823476502E-6</v>
      </c>
      <c r="H418" s="370">
        <f t="shared" si="19"/>
        <v>1.1628719377237847E-5</v>
      </c>
      <c r="I418" s="331">
        <v>315028</v>
      </c>
      <c r="J418" s="331">
        <v>0</v>
      </c>
      <c r="K418" s="331">
        <f t="shared" si="20"/>
        <v>315028</v>
      </c>
      <c r="L418" s="199">
        <v>1.68</v>
      </c>
      <c r="M418" s="199">
        <v>1.69</v>
      </c>
    </row>
    <row r="419" spans="1:13" ht="15" customHeight="1" x14ac:dyDescent="0.25">
      <c r="A419" s="49">
        <v>2001</v>
      </c>
      <c r="B419" s="330" t="s">
        <v>13</v>
      </c>
      <c r="C419" s="331">
        <v>12313635058</v>
      </c>
      <c r="D419" s="331">
        <v>8465865245</v>
      </c>
      <c r="E419" s="331">
        <v>96861849</v>
      </c>
      <c r="F419" s="331">
        <v>134795</v>
      </c>
      <c r="G419" s="370">
        <f t="shared" si="18"/>
        <v>1.0946808100539372E-5</v>
      </c>
      <c r="H419" s="370">
        <f t="shared" si="19"/>
        <v>1.592217642249986E-5</v>
      </c>
      <c r="I419" s="331">
        <v>306526</v>
      </c>
      <c r="J419" s="331">
        <v>0</v>
      </c>
      <c r="K419" s="331">
        <f t="shared" si="20"/>
        <v>306526</v>
      </c>
      <c r="L419" s="199">
        <v>1.1399999999999999</v>
      </c>
      <c r="M419" s="199">
        <v>1.69</v>
      </c>
    </row>
    <row r="420" spans="1:13" ht="15" customHeight="1" x14ac:dyDescent="0.25">
      <c r="A420" s="49">
        <v>2002</v>
      </c>
      <c r="B420" s="330" t="s">
        <v>13</v>
      </c>
      <c r="C420" s="331">
        <v>12712660136</v>
      </c>
      <c r="D420" s="331">
        <v>8710300315</v>
      </c>
      <c r="E420" s="331">
        <v>106250330</v>
      </c>
      <c r="F420" s="331">
        <v>151793</v>
      </c>
      <c r="G420" s="370">
        <f t="shared" si="18"/>
        <v>1.194030190189299E-5</v>
      </c>
      <c r="H420" s="370">
        <f t="shared" si="19"/>
        <v>1.7426838858655359E-5</v>
      </c>
      <c r="I420" s="331">
        <v>304616</v>
      </c>
      <c r="J420" s="331">
        <v>0</v>
      </c>
      <c r="K420" s="331">
        <f t="shared" si="20"/>
        <v>304616</v>
      </c>
      <c r="L420" s="199">
        <v>1.22</v>
      </c>
      <c r="M420" s="199">
        <v>1.69</v>
      </c>
    </row>
    <row r="421" spans="1:13" x14ac:dyDescent="0.25">
      <c r="A421" s="49">
        <v>2003</v>
      </c>
      <c r="B421" s="330" t="s">
        <v>13</v>
      </c>
      <c r="C421" s="331">
        <v>13396530469</v>
      </c>
      <c r="D421" s="331">
        <v>9171359325</v>
      </c>
      <c r="E421" s="331">
        <v>156837214</v>
      </c>
      <c r="F421" s="331">
        <v>123615</v>
      </c>
      <c r="G421" s="370">
        <f t="shared" si="18"/>
        <v>9.2273891576665356E-6</v>
      </c>
      <c r="H421" s="370">
        <f t="shared" si="19"/>
        <v>1.3478372792901123E-5</v>
      </c>
      <c r="I421" s="331">
        <v>347155</v>
      </c>
      <c r="J421" s="331">
        <v>0</v>
      </c>
      <c r="K421" s="331">
        <f t="shared" si="20"/>
        <v>347155</v>
      </c>
      <c r="L421" s="199">
        <v>1.71</v>
      </c>
      <c r="M421" s="199">
        <v>1.69</v>
      </c>
    </row>
    <row r="422" spans="1:13" ht="15" customHeight="1" x14ac:dyDescent="0.25">
      <c r="A422" s="49">
        <v>2004</v>
      </c>
      <c r="B422" s="330" t="s">
        <v>13</v>
      </c>
      <c r="C422" s="331">
        <v>14480920486</v>
      </c>
      <c r="D422" s="331">
        <v>9767677716</v>
      </c>
      <c r="E422" s="331">
        <v>119369852</v>
      </c>
      <c r="F422" s="331">
        <v>104632</v>
      </c>
      <c r="G422" s="370">
        <f t="shared" si="18"/>
        <v>7.2255075291074972E-6</v>
      </c>
      <c r="H422" s="370">
        <f t="shared" si="19"/>
        <v>1.071206514406254E-5</v>
      </c>
      <c r="I422" s="331">
        <v>387834</v>
      </c>
      <c r="J422" s="331">
        <v>0</v>
      </c>
      <c r="K422" s="331">
        <f t="shared" si="20"/>
        <v>387834</v>
      </c>
      <c r="L422" s="199">
        <v>1.22</v>
      </c>
      <c r="M422" s="199">
        <v>1.69</v>
      </c>
    </row>
    <row r="423" spans="1:13" ht="15" customHeight="1" x14ac:dyDescent="0.25">
      <c r="A423" s="49">
        <v>2005</v>
      </c>
      <c r="B423" s="330" t="s">
        <v>13</v>
      </c>
      <c r="C423" s="331">
        <v>15493068710</v>
      </c>
      <c r="D423" s="331">
        <v>10560077633</v>
      </c>
      <c r="E423" s="331">
        <v>133042056</v>
      </c>
      <c r="F423" s="331">
        <v>82253</v>
      </c>
      <c r="G423" s="370">
        <f t="shared" si="18"/>
        <v>5.3090192485178749E-6</v>
      </c>
      <c r="H423" s="370">
        <f t="shared" si="19"/>
        <v>7.7890525864091443E-6</v>
      </c>
      <c r="I423" s="331">
        <v>456442</v>
      </c>
      <c r="J423" s="331">
        <v>0</v>
      </c>
      <c r="K423" s="331">
        <f t="shared" si="20"/>
        <v>456442</v>
      </c>
      <c r="L423" s="199">
        <v>1.26</v>
      </c>
      <c r="M423" s="199">
        <v>1.69</v>
      </c>
    </row>
    <row r="424" spans="1:13" ht="15" customHeight="1" x14ac:dyDescent="0.25">
      <c r="A424" s="49">
        <v>2006</v>
      </c>
      <c r="B424" s="330" t="s">
        <v>13</v>
      </c>
      <c r="C424" s="331">
        <v>16546719652</v>
      </c>
      <c r="D424" s="331">
        <v>11373436948</v>
      </c>
      <c r="E424" s="331">
        <v>142993563</v>
      </c>
      <c r="F424" s="331">
        <v>90618</v>
      </c>
      <c r="G424" s="370">
        <f t="shared" si="18"/>
        <v>5.476493341630225E-6</v>
      </c>
      <c r="H424" s="370">
        <f t="shared" si="19"/>
        <v>7.9675124075783466E-6</v>
      </c>
      <c r="I424" s="331">
        <v>530815</v>
      </c>
      <c r="J424" s="331">
        <v>0</v>
      </c>
      <c r="K424" s="331">
        <f t="shared" si="20"/>
        <v>530815</v>
      </c>
      <c r="L424" s="199">
        <v>1.26</v>
      </c>
      <c r="M424" s="199">
        <v>1.69</v>
      </c>
    </row>
    <row r="425" spans="1:13" ht="15" customHeight="1" x14ac:dyDescent="0.25">
      <c r="A425" s="49">
        <v>2007</v>
      </c>
      <c r="B425" s="330" t="s">
        <v>13</v>
      </c>
      <c r="C425" s="331">
        <v>17534321756</v>
      </c>
      <c r="D425" s="331">
        <v>12077620086</v>
      </c>
      <c r="E425" s="331">
        <v>99933311</v>
      </c>
      <c r="F425" s="331">
        <v>108257</v>
      </c>
      <c r="G425" s="370">
        <f t="shared" si="18"/>
        <v>6.1740055592943575E-6</v>
      </c>
      <c r="H425" s="370">
        <f t="shared" si="19"/>
        <v>8.9634380970045698E-6</v>
      </c>
      <c r="I425" s="331">
        <v>556334</v>
      </c>
      <c r="J425" s="331">
        <v>0</v>
      </c>
      <c r="K425" s="331">
        <f t="shared" si="20"/>
        <v>556334</v>
      </c>
      <c r="L425" s="199">
        <v>0.83</v>
      </c>
      <c r="M425" s="199">
        <v>1.69</v>
      </c>
    </row>
    <row r="426" spans="1:13" ht="15" customHeight="1" x14ac:dyDescent="0.25">
      <c r="A426" s="49">
        <v>2008</v>
      </c>
      <c r="B426" s="330" t="s">
        <v>13</v>
      </c>
      <c r="C426" s="331">
        <v>17657329270</v>
      </c>
      <c r="D426" s="331">
        <v>6452293465</v>
      </c>
      <c r="E426" s="331">
        <v>47305173</v>
      </c>
      <c r="F426" s="331">
        <v>212675</v>
      </c>
      <c r="G426" s="370">
        <f t="shared" si="18"/>
        <v>1.2044573488321204E-5</v>
      </c>
      <c r="H426" s="370">
        <f t="shared" si="19"/>
        <v>3.2961148024906207E-5</v>
      </c>
      <c r="I426" s="331">
        <v>424975</v>
      </c>
      <c r="J426" s="331">
        <v>0</v>
      </c>
      <c r="K426" s="331">
        <f t="shared" si="20"/>
        <v>424975</v>
      </c>
      <c r="L426" s="199">
        <v>0.7</v>
      </c>
      <c r="M426" s="199">
        <v>1.69</v>
      </c>
    </row>
    <row r="427" spans="1:13" ht="15" customHeight="1" x14ac:dyDescent="0.25">
      <c r="A427" s="49">
        <v>2009</v>
      </c>
      <c r="B427" s="330" t="s">
        <v>13</v>
      </c>
      <c r="C427" s="331">
        <v>16614728942</v>
      </c>
      <c r="D427" s="331">
        <v>5900835748</v>
      </c>
      <c r="E427" s="331">
        <v>42092871</v>
      </c>
      <c r="F427" s="331">
        <v>374181</v>
      </c>
      <c r="G427" s="370">
        <f t="shared" si="18"/>
        <v>2.2521041499155383E-5</v>
      </c>
      <c r="H427" s="370">
        <f t="shared" si="19"/>
        <v>6.3411526092185E-5</v>
      </c>
      <c r="I427" s="331">
        <v>130687</v>
      </c>
      <c r="J427" s="331">
        <v>0</v>
      </c>
      <c r="K427" s="331">
        <f t="shared" si="20"/>
        <v>130687</v>
      </c>
      <c r="L427" s="199">
        <v>0.7</v>
      </c>
      <c r="M427" s="199">
        <v>1.89</v>
      </c>
    </row>
    <row r="428" spans="1:13" ht="15" customHeight="1" x14ac:dyDescent="0.25">
      <c r="A428" s="49">
        <v>2010</v>
      </c>
      <c r="B428" s="330" t="s">
        <v>13</v>
      </c>
      <c r="C428" s="331">
        <v>16297103130</v>
      </c>
      <c r="D428" s="331">
        <v>10922158915</v>
      </c>
      <c r="E428" s="331">
        <v>191956687</v>
      </c>
      <c r="F428" s="331">
        <v>304881</v>
      </c>
      <c r="G428" s="370">
        <f t="shared" si="18"/>
        <v>1.870768059623858E-5</v>
      </c>
      <c r="H428" s="370">
        <f t="shared" si="19"/>
        <v>2.7913986820068164E-5</v>
      </c>
      <c r="I428" s="331">
        <v>2823</v>
      </c>
      <c r="J428" s="331">
        <v>14642</v>
      </c>
      <c r="K428" s="331">
        <f t="shared" si="20"/>
        <v>-11819</v>
      </c>
      <c r="L428" s="199">
        <v>1.8</v>
      </c>
      <c r="M428" s="199">
        <v>1.96</v>
      </c>
    </row>
    <row r="429" spans="1:13" ht="15" customHeight="1" x14ac:dyDescent="0.25">
      <c r="A429" s="49">
        <v>2011</v>
      </c>
      <c r="B429" s="330" t="s">
        <v>13</v>
      </c>
      <c r="C429" s="331">
        <v>16728000105</v>
      </c>
      <c r="D429" s="331">
        <v>10989382103</v>
      </c>
      <c r="E429" s="331">
        <v>290935702</v>
      </c>
      <c r="F429" s="331">
        <v>245334</v>
      </c>
      <c r="G429" s="370">
        <f t="shared" si="18"/>
        <v>1.4666068774513557E-5</v>
      </c>
      <c r="H429" s="370">
        <f t="shared" si="19"/>
        <v>2.2324640066253232E-5</v>
      </c>
      <c r="I429" s="331">
        <v>15627</v>
      </c>
      <c r="J429" s="331">
        <v>0</v>
      </c>
      <c r="K429" s="331">
        <f t="shared" si="20"/>
        <v>15627</v>
      </c>
      <c r="L429" s="199">
        <v>2.6</v>
      </c>
      <c r="M429" s="199">
        <v>1.96</v>
      </c>
    </row>
    <row r="430" spans="1:13" ht="15" customHeight="1" x14ac:dyDescent="0.25">
      <c r="A430" s="49">
        <v>2012</v>
      </c>
      <c r="B430" s="330" t="s">
        <v>13</v>
      </c>
      <c r="C430" s="331">
        <v>17543134950</v>
      </c>
      <c r="D430" s="331">
        <v>12051346230</v>
      </c>
      <c r="E430" s="331">
        <v>317068175</v>
      </c>
      <c r="F430" s="331">
        <v>225039</v>
      </c>
      <c r="G430" s="370">
        <f t="shared" si="18"/>
        <v>1.2827752886892088E-5</v>
      </c>
      <c r="H430" s="370">
        <f t="shared" si="19"/>
        <v>1.867334949184345E-5</v>
      </c>
      <c r="I430" s="331">
        <v>102020</v>
      </c>
      <c r="J430" s="331">
        <v>0</v>
      </c>
      <c r="K430" s="331">
        <f t="shared" si="20"/>
        <v>102020</v>
      </c>
      <c r="L430" s="199">
        <v>2.63</v>
      </c>
      <c r="M430" s="199">
        <v>1.96</v>
      </c>
    </row>
    <row r="431" spans="1:13" ht="15" customHeight="1" x14ac:dyDescent="0.25">
      <c r="A431" s="49">
        <v>2013</v>
      </c>
      <c r="B431" s="330" t="s">
        <v>13</v>
      </c>
      <c r="C431" s="331">
        <v>18320692104</v>
      </c>
      <c r="D431" s="331">
        <v>12628680070</v>
      </c>
      <c r="E431" s="331">
        <v>409378593</v>
      </c>
      <c r="F431" s="331">
        <v>198516</v>
      </c>
      <c r="G431" s="370">
        <f t="shared" si="18"/>
        <v>1.0835616846410379E-5</v>
      </c>
      <c r="H431" s="370">
        <f t="shared" si="19"/>
        <v>1.571945752839077E-5</v>
      </c>
      <c r="I431" s="331">
        <v>301090</v>
      </c>
      <c r="J431" s="331">
        <v>0</v>
      </c>
      <c r="K431" s="331">
        <f t="shared" si="20"/>
        <v>301090</v>
      </c>
      <c r="L431" s="199">
        <v>3.24</v>
      </c>
      <c r="M431" s="199">
        <v>1.96</v>
      </c>
    </row>
    <row r="432" spans="1:13" ht="15" customHeight="1" x14ac:dyDescent="0.25">
      <c r="A432" s="49">
        <v>2014</v>
      </c>
      <c r="B432" s="330" t="s">
        <v>13</v>
      </c>
      <c r="C432" s="331">
        <v>19090718489</v>
      </c>
      <c r="D432" s="331">
        <v>13165998726</v>
      </c>
      <c r="E432" s="331">
        <v>234921748</v>
      </c>
      <c r="F432" s="331">
        <v>172617</v>
      </c>
      <c r="G432" s="370">
        <f t="shared" si="18"/>
        <v>9.0419331309851572E-6</v>
      </c>
      <c r="H432" s="370">
        <f t="shared" si="19"/>
        <v>1.3110817006165947E-5</v>
      </c>
      <c r="I432" s="331">
        <v>398358</v>
      </c>
      <c r="J432" s="331">
        <v>0</v>
      </c>
      <c r="K432" s="331">
        <f t="shared" si="20"/>
        <v>398358</v>
      </c>
      <c r="L432" s="333">
        <v>1.7843063248675572</v>
      </c>
      <c r="M432" s="199">
        <v>1.96</v>
      </c>
    </row>
    <row r="433" spans="1:13" ht="15" customHeight="1" x14ac:dyDescent="0.25">
      <c r="A433" s="49">
        <v>2015</v>
      </c>
      <c r="B433" s="330" t="s">
        <v>13</v>
      </c>
      <c r="C433" s="334">
        <v>20331481000</v>
      </c>
      <c r="D433" s="334">
        <v>13800872000</v>
      </c>
      <c r="E433" s="334">
        <v>204087000</v>
      </c>
      <c r="F433" s="331">
        <v>134765</v>
      </c>
      <c r="G433" s="370">
        <f t="shared" si="18"/>
        <v>6.62839072077435E-6</v>
      </c>
      <c r="H433" s="370">
        <f t="shared" si="19"/>
        <v>9.7649626777206545E-6</v>
      </c>
      <c r="I433" s="331">
        <v>474739</v>
      </c>
      <c r="J433" s="199">
        <v>0</v>
      </c>
      <c r="K433" s="331">
        <f t="shared" si="20"/>
        <v>474739</v>
      </c>
      <c r="L433" s="199">
        <v>1.4</v>
      </c>
      <c r="M433" s="199">
        <v>1.96</v>
      </c>
    </row>
    <row r="434" spans="1:13" ht="15" customHeight="1" x14ac:dyDescent="0.25">
      <c r="A434" s="49">
        <v>1980</v>
      </c>
      <c r="B434" s="330" t="s">
        <v>14</v>
      </c>
      <c r="C434" s="331">
        <v>11293635034</v>
      </c>
      <c r="D434" s="331">
        <v>5627331483</v>
      </c>
      <c r="E434" s="331">
        <v>133521749</v>
      </c>
      <c r="F434" s="331">
        <v>172225</v>
      </c>
      <c r="G434" s="370">
        <f t="shared" si="18"/>
        <v>1.5249740183874265E-5</v>
      </c>
      <c r="H434" s="370">
        <f t="shared" si="19"/>
        <v>3.0605092399530148E-5</v>
      </c>
      <c r="I434" s="331">
        <v>115012</v>
      </c>
      <c r="J434" s="331">
        <v>0</v>
      </c>
      <c r="K434" s="331">
        <f t="shared" si="20"/>
        <v>115012</v>
      </c>
      <c r="L434" s="199">
        <v>2.37</v>
      </c>
      <c r="M434" s="199">
        <v>1.49</v>
      </c>
    </row>
    <row r="435" spans="1:13" ht="15" customHeight="1" x14ac:dyDescent="0.25">
      <c r="A435" s="49">
        <v>1981</v>
      </c>
      <c r="B435" s="330" t="s">
        <v>14</v>
      </c>
      <c r="C435" s="331">
        <v>11884032176</v>
      </c>
      <c r="D435" s="331">
        <v>5880051921</v>
      </c>
      <c r="E435" s="331">
        <v>136599239</v>
      </c>
      <c r="F435" s="331">
        <v>163989</v>
      </c>
      <c r="G435" s="370">
        <f t="shared" si="18"/>
        <v>1.3799104341973973E-5</v>
      </c>
      <c r="H435" s="370">
        <f t="shared" si="19"/>
        <v>2.7889039451221539E-5</v>
      </c>
      <c r="I435" s="331">
        <v>100901</v>
      </c>
      <c r="J435" s="331">
        <v>0</v>
      </c>
      <c r="K435" s="331">
        <f t="shared" si="20"/>
        <v>100901</v>
      </c>
      <c r="L435" s="199">
        <v>2.3199999999999998</v>
      </c>
      <c r="M435" s="199">
        <v>1.5</v>
      </c>
    </row>
    <row r="436" spans="1:13" ht="15" customHeight="1" x14ac:dyDescent="0.25">
      <c r="A436" s="49">
        <v>1982</v>
      </c>
      <c r="B436" s="330" t="s">
        <v>14</v>
      </c>
      <c r="C436" s="331">
        <v>11614993043</v>
      </c>
      <c r="D436" s="331">
        <v>5986179367</v>
      </c>
      <c r="E436" s="331">
        <v>135917005</v>
      </c>
      <c r="F436" s="331">
        <v>282336</v>
      </c>
      <c r="G436" s="370">
        <f t="shared" si="18"/>
        <v>2.4307892303917932E-5</v>
      </c>
      <c r="H436" s="370">
        <f t="shared" si="19"/>
        <v>4.7164640865329423E-5</v>
      </c>
      <c r="I436" s="331">
        <v>30</v>
      </c>
      <c r="J436" s="331">
        <v>63362</v>
      </c>
      <c r="K436" s="331">
        <f t="shared" si="20"/>
        <v>-63332</v>
      </c>
      <c r="L436" s="199">
        <v>2.27</v>
      </c>
      <c r="M436" s="199">
        <v>1.91</v>
      </c>
    </row>
    <row r="437" spans="1:13" ht="15" customHeight="1" x14ac:dyDescent="0.25">
      <c r="A437" s="49">
        <v>1983</v>
      </c>
      <c r="B437" s="330" t="s">
        <v>14</v>
      </c>
      <c r="C437" s="331">
        <v>11784375793</v>
      </c>
      <c r="D437" s="331">
        <v>6237544175</v>
      </c>
      <c r="E437" s="331">
        <v>185384010</v>
      </c>
      <c r="F437" s="331">
        <v>227552</v>
      </c>
      <c r="G437" s="370">
        <f t="shared" si="18"/>
        <v>1.9309635401746732E-5</v>
      </c>
      <c r="H437" s="370">
        <f t="shared" si="19"/>
        <v>3.6481024200521997E-5</v>
      </c>
      <c r="I437" s="331">
        <v>69</v>
      </c>
      <c r="J437" s="331">
        <v>126579</v>
      </c>
      <c r="K437" s="331">
        <f t="shared" si="20"/>
        <v>-126510</v>
      </c>
      <c r="L437" s="199">
        <v>2.97</v>
      </c>
      <c r="M437" s="199">
        <v>2.1</v>
      </c>
    </row>
    <row r="438" spans="1:13" ht="15" customHeight="1" x14ac:dyDescent="0.25">
      <c r="A438" s="49">
        <v>1984</v>
      </c>
      <c r="B438" s="330" t="s">
        <v>14</v>
      </c>
      <c r="C438" s="331">
        <v>12589552163</v>
      </c>
      <c r="D438" s="331">
        <v>6971564962</v>
      </c>
      <c r="E438" s="331">
        <v>238733901</v>
      </c>
      <c r="F438" s="331">
        <v>146806</v>
      </c>
      <c r="G438" s="370">
        <f t="shared" si="18"/>
        <v>1.1660939015087029E-5</v>
      </c>
      <c r="H438" s="370">
        <f t="shared" si="19"/>
        <v>2.105782572495521E-5</v>
      </c>
      <c r="I438" s="331">
        <v>0</v>
      </c>
      <c r="J438" s="331">
        <v>37558</v>
      </c>
      <c r="K438" s="331">
        <f t="shared" si="20"/>
        <v>-37558</v>
      </c>
      <c r="L438" s="199">
        <v>3.42</v>
      </c>
      <c r="M438" s="199">
        <v>2.1</v>
      </c>
    </row>
    <row r="439" spans="1:13" ht="15" customHeight="1" x14ac:dyDescent="0.25">
      <c r="A439" s="49">
        <v>1985</v>
      </c>
      <c r="B439" s="330" t="s">
        <v>14</v>
      </c>
      <c r="C439" s="331">
        <v>12838207109</v>
      </c>
      <c r="D439" s="331">
        <v>7280875868</v>
      </c>
      <c r="E439" s="331">
        <v>239529671</v>
      </c>
      <c r="F439" s="331">
        <v>171789</v>
      </c>
      <c r="G439" s="370">
        <f t="shared" si="18"/>
        <v>1.3381074050407734E-5</v>
      </c>
      <c r="H439" s="370">
        <f t="shared" si="19"/>
        <v>2.359455141311029E-5</v>
      </c>
      <c r="I439" s="331">
        <v>50619</v>
      </c>
      <c r="J439" s="331">
        <v>0</v>
      </c>
      <c r="K439" s="331">
        <f t="shared" si="20"/>
        <v>50619</v>
      </c>
      <c r="L439" s="199">
        <v>3.29</v>
      </c>
      <c r="M439" s="199">
        <v>2.1</v>
      </c>
    </row>
    <row r="440" spans="1:13" ht="15" customHeight="1" x14ac:dyDescent="0.25">
      <c r="A440" s="49">
        <v>1986</v>
      </c>
      <c r="B440" s="330" t="s">
        <v>14</v>
      </c>
      <c r="C440" s="331">
        <v>13168583536</v>
      </c>
      <c r="D440" s="331">
        <v>7670518602</v>
      </c>
      <c r="E440" s="331">
        <v>244570818</v>
      </c>
      <c r="F440" s="331">
        <v>161328</v>
      </c>
      <c r="G440" s="370">
        <f t="shared" si="18"/>
        <v>1.2250975935184286E-5</v>
      </c>
      <c r="H440" s="370">
        <f t="shared" si="19"/>
        <v>2.1032215469490626E-5</v>
      </c>
      <c r="I440" s="331">
        <v>145471</v>
      </c>
      <c r="J440" s="331">
        <v>0</v>
      </c>
      <c r="K440" s="331">
        <f t="shared" si="20"/>
        <v>145471</v>
      </c>
      <c r="L440" s="199">
        <v>3.19</v>
      </c>
      <c r="M440" s="199">
        <v>2.1</v>
      </c>
    </row>
    <row r="441" spans="1:13" ht="15" customHeight="1" x14ac:dyDescent="0.25">
      <c r="A441" s="49">
        <v>1987</v>
      </c>
      <c r="B441" s="330" t="s">
        <v>14</v>
      </c>
      <c r="C441" s="331">
        <v>14161468246</v>
      </c>
      <c r="D441" s="331">
        <v>8098486268</v>
      </c>
      <c r="E441" s="331">
        <v>240002765</v>
      </c>
      <c r="F441" s="331">
        <v>121381</v>
      </c>
      <c r="G441" s="370">
        <f t="shared" si="18"/>
        <v>8.5712157730738737E-6</v>
      </c>
      <c r="H441" s="370">
        <f t="shared" si="19"/>
        <v>1.4988109627303994E-5</v>
      </c>
      <c r="I441" s="331">
        <v>282758</v>
      </c>
      <c r="J441" s="331">
        <v>0</v>
      </c>
      <c r="K441" s="331">
        <f t="shared" si="20"/>
        <v>282758</v>
      </c>
      <c r="L441" s="199">
        <v>2.96</v>
      </c>
      <c r="M441" s="199">
        <v>2.1</v>
      </c>
    </row>
    <row r="442" spans="1:13" ht="15" customHeight="1" x14ac:dyDescent="0.25">
      <c r="A442" s="49">
        <v>1988</v>
      </c>
      <c r="B442" s="330" t="s">
        <v>14</v>
      </c>
      <c r="C442" s="331">
        <v>15385865271</v>
      </c>
      <c r="D442" s="331">
        <v>8021562835</v>
      </c>
      <c r="E442" s="331">
        <v>223791510</v>
      </c>
      <c r="F442" s="331">
        <v>110005</v>
      </c>
      <c r="G442" s="370">
        <f t="shared" si="18"/>
        <v>7.1497441360898028E-6</v>
      </c>
      <c r="H442" s="370">
        <f t="shared" si="19"/>
        <v>1.3713661821611847E-5</v>
      </c>
      <c r="I442" s="331">
        <v>427446</v>
      </c>
      <c r="J442" s="331">
        <v>0</v>
      </c>
      <c r="K442" s="331">
        <f t="shared" si="20"/>
        <v>427446</v>
      </c>
      <c r="L442" s="199">
        <v>2.79</v>
      </c>
      <c r="M442" s="199">
        <v>2.1</v>
      </c>
    </row>
    <row r="443" spans="1:13" ht="15" customHeight="1" x14ac:dyDescent="0.25">
      <c r="A443" s="49">
        <v>1989</v>
      </c>
      <c r="B443" s="330" t="s">
        <v>14</v>
      </c>
      <c r="C443" s="331">
        <v>16427186235</v>
      </c>
      <c r="D443" s="331">
        <v>8644548729</v>
      </c>
      <c r="E443" s="331">
        <v>167704561</v>
      </c>
      <c r="F443" s="331">
        <v>119824</v>
      </c>
      <c r="G443" s="370">
        <f t="shared" si="18"/>
        <v>7.2942498055267221E-6</v>
      </c>
      <c r="H443" s="370">
        <f t="shared" si="19"/>
        <v>1.386122095628018E-5</v>
      </c>
      <c r="I443" s="331">
        <v>517780</v>
      </c>
      <c r="J443" s="331">
        <v>0</v>
      </c>
      <c r="K443" s="331">
        <f t="shared" si="20"/>
        <v>517780</v>
      </c>
      <c r="L443" s="199">
        <v>1.94</v>
      </c>
      <c r="M443" s="199">
        <v>2.1</v>
      </c>
    </row>
    <row r="444" spans="1:13" ht="15" customHeight="1" x14ac:dyDescent="0.25">
      <c r="A444" s="49">
        <v>1990</v>
      </c>
      <c r="B444" s="330" t="s">
        <v>14</v>
      </c>
      <c r="C444" s="331">
        <v>17522652103</v>
      </c>
      <c r="D444" s="331">
        <v>9204238881</v>
      </c>
      <c r="E444" s="331">
        <v>147477750</v>
      </c>
      <c r="F444" s="331">
        <v>137744</v>
      </c>
      <c r="G444" s="370">
        <f t="shared" si="18"/>
        <v>7.8609105054603724E-6</v>
      </c>
      <c r="H444" s="370">
        <f t="shared" si="19"/>
        <v>1.4965278691792789E-5</v>
      </c>
      <c r="I444" s="331">
        <v>574799</v>
      </c>
      <c r="J444" s="331">
        <v>0</v>
      </c>
      <c r="K444" s="331">
        <f t="shared" si="20"/>
        <v>574799</v>
      </c>
      <c r="L444" s="199">
        <v>1.6</v>
      </c>
      <c r="M444" s="199">
        <v>2.1</v>
      </c>
    </row>
    <row r="445" spans="1:13" ht="15" customHeight="1" x14ac:dyDescent="0.25">
      <c r="A445" s="49">
        <v>1991</v>
      </c>
      <c r="B445" s="330" t="s">
        <v>14</v>
      </c>
      <c r="C445" s="331">
        <v>18165241738</v>
      </c>
      <c r="D445" s="331">
        <v>9540905147</v>
      </c>
      <c r="E445" s="331">
        <v>146922070</v>
      </c>
      <c r="F445" s="331">
        <v>179422</v>
      </c>
      <c r="G445" s="370">
        <f t="shared" si="18"/>
        <v>9.8772151005657047E-6</v>
      </c>
      <c r="H445" s="370">
        <f t="shared" si="19"/>
        <v>1.8805553271475157E-5</v>
      </c>
      <c r="I445" s="331">
        <v>594626</v>
      </c>
      <c r="J445" s="331">
        <v>0</v>
      </c>
      <c r="K445" s="331">
        <f t="shared" si="20"/>
        <v>594626</v>
      </c>
      <c r="L445" s="199">
        <v>1.54</v>
      </c>
      <c r="M445" s="199">
        <v>2.1</v>
      </c>
    </row>
    <row r="446" spans="1:13" ht="15" customHeight="1" x14ac:dyDescent="0.25">
      <c r="A446" s="49">
        <v>1992</v>
      </c>
      <c r="B446" s="330" t="s">
        <v>14</v>
      </c>
      <c r="C446" s="331">
        <v>19451213734</v>
      </c>
      <c r="D446" s="331">
        <v>10234874318</v>
      </c>
      <c r="E446" s="331">
        <v>157051056</v>
      </c>
      <c r="F446" s="331">
        <v>180461</v>
      </c>
      <c r="G446" s="370">
        <f t="shared" si="18"/>
        <v>9.2776215647952536E-6</v>
      </c>
      <c r="H446" s="370">
        <f t="shared" si="19"/>
        <v>1.763197030007731E-5</v>
      </c>
      <c r="I446" s="331">
        <v>615474</v>
      </c>
      <c r="J446" s="331">
        <v>0</v>
      </c>
      <c r="K446" s="331">
        <f t="shared" si="20"/>
        <v>615474</v>
      </c>
      <c r="L446" s="199">
        <v>1.53</v>
      </c>
      <c r="M446" s="199">
        <v>2.1</v>
      </c>
    </row>
    <row r="447" spans="1:13" ht="15" customHeight="1" x14ac:dyDescent="0.25">
      <c r="A447" s="49">
        <v>1993</v>
      </c>
      <c r="B447" s="330" t="s">
        <v>14</v>
      </c>
      <c r="C447" s="331">
        <v>20497388944</v>
      </c>
      <c r="D447" s="331">
        <v>10657312965</v>
      </c>
      <c r="E447" s="331">
        <v>165352252</v>
      </c>
      <c r="F447" s="331">
        <v>166341</v>
      </c>
      <c r="G447" s="370">
        <f t="shared" si="18"/>
        <v>8.1152287471566647E-6</v>
      </c>
      <c r="H447" s="370">
        <f t="shared" si="19"/>
        <v>1.5608155690490224E-5</v>
      </c>
      <c r="I447" s="331">
        <v>655066</v>
      </c>
      <c r="J447" s="331">
        <v>0</v>
      </c>
      <c r="K447" s="331">
        <f t="shared" si="20"/>
        <v>655066</v>
      </c>
      <c r="L447" s="199">
        <v>1.55</v>
      </c>
      <c r="M447" s="199">
        <v>2.1</v>
      </c>
    </row>
    <row r="448" spans="1:13" ht="15" customHeight="1" x14ac:dyDescent="0.25">
      <c r="A448" s="49">
        <v>1994</v>
      </c>
      <c r="B448" s="330" t="s">
        <v>14</v>
      </c>
      <c r="C448" s="331">
        <v>21917269570</v>
      </c>
      <c r="D448" s="331">
        <v>11685369679</v>
      </c>
      <c r="E448" s="331">
        <v>150437201</v>
      </c>
      <c r="F448" s="331">
        <v>142755</v>
      </c>
      <c r="G448" s="370">
        <f t="shared" si="18"/>
        <v>6.513356946405437E-6</v>
      </c>
      <c r="H448" s="370">
        <f t="shared" si="19"/>
        <v>1.2216558305087064E-5</v>
      </c>
      <c r="I448" s="331">
        <v>708450</v>
      </c>
      <c r="J448" s="331">
        <v>0</v>
      </c>
      <c r="K448" s="331">
        <f t="shared" si="20"/>
        <v>708450</v>
      </c>
      <c r="L448" s="199">
        <v>1.29</v>
      </c>
      <c r="M448" s="199">
        <v>2.1</v>
      </c>
    </row>
    <row r="449" spans="1:13" ht="15" customHeight="1" x14ac:dyDescent="0.25">
      <c r="A449" s="49">
        <v>1995</v>
      </c>
      <c r="B449" s="330" t="s">
        <v>14</v>
      </c>
      <c r="C449" s="331">
        <v>23369604303</v>
      </c>
      <c r="D449" s="331">
        <v>12388365783</v>
      </c>
      <c r="E449" s="331">
        <v>118383258</v>
      </c>
      <c r="F449" s="331">
        <v>152972</v>
      </c>
      <c r="G449" s="370">
        <f t="shared" si="18"/>
        <v>6.5457676568517124E-6</v>
      </c>
      <c r="H449" s="370">
        <f t="shared" si="19"/>
        <v>1.2348037076037635E-5</v>
      </c>
      <c r="I449" s="331">
        <v>725149</v>
      </c>
      <c r="J449" s="331">
        <v>0</v>
      </c>
      <c r="K449" s="331">
        <f t="shared" si="20"/>
        <v>725149</v>
      </c>
      <c r="L449" s="199">
        <v>0.96</v>
      </c>
      <c r="M449" s="199">
        <v>2.1</v>
      </c>
    </row>
    <row r="450" spans="1:13" ht="15" customHeight="1" x14ac:dyDescent="0.25">
      <c r="A450" s="49">
        <v>1996</v>
      </c>
      <c r="B450" s="330" t="s">
        <v>14</v>
      </c>
      <c r="C450" s="331">
        <v>24686926996</v>
      </c>
      <c r="D450" s="331">
        <v>13111120712</v>
      </c>
      <c r="E450" s="331">
        <v>125430058</v>
      </c>
      <c r="F450" s="331">
        <v>178455</v>
      </c>
      <c r="G450" s="370">
        <f t="shared" ref="G450:G513" si="21">F450/C450</f>
        <v>7.228724742812862E-6</v>
      </c>
      <c r="H450" s="370">
        <f t="shared" ref="H450:H513" si="22">F450/D450</f>
        <v>1.3610964609353983E-5</v>
      </c>
      <c r="I450" s="331">
        <v>718845</v>
      </c>
      <c r="J450" s="331">
        <v>0</v>
      </c>
      <c r="K450" s="331">
        <f t="shared" ref="K450:K513" si="23">I450-J450</f>
        <v>718845</v>
      </c>
      <c r="L450" s="199">
        <v>0.96</v>
      </c>
      <c r="M450" s="199">
        <v>2.1</v>
      </c>
    </row>
    <row r="451" spans="1:13" ht="15" customHeight="1" x14ac:dyDescent="0.25">
      <c r="A451" s="49">
        <v>1997</v>
      </c>
      <c r="B451" s="330" t="s">
        <v>14</v>
      </c>
      <c r="C451" s="331">
        <v>26517976146</v>
      </c>
      <c r="D451" s="331">
        <v>13913296536</v>
      </c>
      <c r="E451" s="331">
        <v>131955088</v>
      </c>
      <c r="F451" s="331">
        <v>172597</v>
      </c>
      <c r="G451" s="370">
        <f t="shared" si="21"/>
        <v>6.508679208765135E-6</v>
      </c>
      <c r="H451" s="370">
        <f t="shared" si="22"/>
        <v>1.2405183743005361E-5</v>
      </c>
      <c r="I451" s="331">
        <v>727327</v>
      </c>
      <c r="J451" s="331">
        <v>0</v>
      </c>
      <c r="K451" s="331">
        <f t="shared" si="23"/>
        <v>727327</v>
      </c>
      <c r="L451" s="199">
        <v>0.95</v>
      </c>
      <c r="M451" s="199">
        <v>2.1</v>
      </c>
    </row>
    <row r="452" spans="1:13" ht="15" customHeight="1" x14ac:dyDescent="0.25">
      <c r="A452" s="49">
        <v>1998</v>
      </c>
      <c r="B452" s="330" t="s">
        <v>14</v>
      </c>
      <c r="C452" s="331">
        <v>28746618497</v>
      </c>
      <c r="D452" s="331">
        <v>14934503840</v>
      </c>
      <c r="E452" s="331">
        <v>144144815</v>
      </c>
      <c r="F452" s="331">
        <v>144970</v>
      </c>
      <c r="G452" s="370">
        <f t="shared" si="21"/>
        <v>5.043027930924435E-6</v>
      </c>
      <c r="H452" s="370">
        <f t="shared" si="22"/>
        <v>9.707051640491593E-6</v>
      </c>
      <c r="I452" s="331">
        <v>764875</v>
      </c>
      <c r="J452" s="331">
        <v>0</v>
      </c>
      <c r="K452" s="331">
        <f t="shared" si="23"/>
        <v>764875</v>
      </c>
      <c r="L452" s="199">
        <v>0.97</v>
      </c>
      <c r="M452" s="199">
        <v>2.1</v>
      </c>
    </row>
    <row r="453" spans="1:13" ht="15" customHeight="1" x14ac:dyDescent="0.25">
      <c r="A453" s="49">
        <v>1999</v>
      </c>
      <c r="B453" s="330" t="s">
        <v>14</v>
      </c>
      <c r="C453" s="331">
        <v>30448977667</v>
      </c>
      <c r="D453" s="331">
        <v>15997529792</v>
      </c>
      <c r="E453" s="331">
        <v>153769224</v>
      </c>
      <c r="F453" s="331">
        <v>173693</v>
      </c>
      <c r="G453" s="370">
        <f t="shared" si="21"/>
        <v>5.7043951327221418E-6</v>
      </c>
      <c r="H453" s="370">
        <f t="shared" si="22"/>
        <v>1.0857488765975602E-5</v>
      </c>
      <c r="I453" s="331">
        <v>775400</v>
      </c>
      <c r="J453" s="331">
        <v>0</v>
      </c>
      <c r="K453" s="331">
        <f t="shared" si="23"/>
        <v>775400</v>
      </c>
      <c r="L453" s="199">
        <v>0.96</v>
      </c>
      <c r="M453" s="199">
        <v>2.1</v>
      </c>
    </row>
    <row r="454" spans="1:13" ht="15" customHeight="1" x14ac:dyDescent="0.25">
      <c r="A454" s="49">
        <v>2000</v>
      </c>
      <c r="B454" s="330" t="s">
        <v>14</v>
      </c>
      <c r="C454" s="331">
        <v>31582576528</v>
      </c>
      <c r="D454" s="331">
        <v>16939664403</v>
      </c>
      <c r="E454" s="331">
        <v>203315185</v>
      </c>
      <c r="F454" s="331">
        <v>203843</v>
      </c>
      <c r="G454" s="370">
        <f t="shared" si="21"/>
        <v>6.4542865848604836E-6</v>
      </c>
      <c r="H454" s="370">
        <f t="shared" si="22"/>
        <v>1.203347334105979E-5</v>
      </c>
      <c r="I454" s="331">
        <v>823519</v>
      </c>
      <c r="J454" s="331">
        <v>0</v>
      </c>
      <c r="K454" s="331">
        <f t="shared" si="23"/>
        <v>823519</v>
      </c>
      <c r="L454" s="199">
        <v>1.2</v>
      </c>
      <c r="M454" s="199">
        <v>2.1</v>
      </c>
    </row>
    <row r="455" spans="1:13" ht="15" customHeight="1" x14ac:dyDescent="0.25">
      <c r="A455" s="49">
        <v>2001</v>
      </c>
      <c r="B455" s="330" t="s">
        <v>14</v>
      </c>
      <c r="C455" s="331">
        <v>32057555957</v>
      </c>
      <c r="D455" s="331">
        <v>17213127018</v>
      </c>
      <c r="E455" s="331">
        <v>204998042</v>
      </c>
      <c r="F455" s="331">
        <v>306268</v>
      </c>
      <c r="G455" s="370">
        <f t="shared" si="21"/>
        <v>9.5536915044555709E-6</v>
      </c>
      <c r="H455" s="370">
        <f t="shared" si="22"/>
        <v>1.7792699704111368E-5</v>
      </c>
      <c r="I455" s="331">
        <v>772803</v>
      </c>
      <c r="J455" s="331">
        <v>0</v>
      </c>
      <c r="K455" s="331">
        <f t="shared" si="23"/>
        <v>772803</v>
      </c>
      <c r="L455" s="199">
        <v>1.19</v>
      </c>
      <c r="M455" s="199">
        <v>2.04</v>
      </c>
    </row>
    <row r="456" spans="1:13" x14ac:dyDescent="0.25">
      <c r="A456" s="49">
        <v>2002</v>
      </c>
      <c r="B456" s="330" t="s">
        <v>14</v>
      </c>
      <c r="C456" s="331">
        <v>32298911375</v>
      </c>
      <c r="D456" s="331">
        <v>17373841731</v>
      </c>
      <c r="E456" s="331">
        <v>211901228</v>
      </c>
      <c r="F456" s="331">
        <v>354086</v>
      </c>
      <c r="G456" s="370">
        <f t="shared" si="21"/>
        <v>1.0962784345545145E-5</v>
      </c>
      <c r="H456" s="370">
        <f t="shared" si="22"/>
        <v>2.0380408978182834E-5</v>
      </c>
      <c r="I456" s="331">
        <v>758997</v>
      </c>
      <c r="J456" s="331">
        <v>0</v>
      </c>
      <c r="K456" s="331">
        <f t="shared" si="23"/>
        <v>758997</v>
      </c>
      <c r="L456" s="199">
        <v>1.22</v>
      </c>
      <c r="M456" s="199">
        <v>2.04</v>
      </c>
    </row>
    <row r="457" spans="1:13" ht="15" customHeight="1" x14ac:dyDescent="0.25">
      <c r="A457" s="49">
        <v>2003</v>
      </c>
      <c r="B457" s="330" t="s">
        <v>14</v>
      </c>
      <c r="C457" s="331">
        <v>33165294598</v>
      </c>
      <c r="D457" s="331">
        <v>17762644700</v>
      </c>
      <c r="E457" s="331">
        <v>270588193</v>
      </c>
      <c r="F457" s="331">
        <v>361167</v>
      </c>
      <c r="G457" s="370">
        <f t="shared" si="21"/>
        <v>1.0889907789987785E-5</v>
      </c>
      <c r="H457" s="370">
        <f t="shared" si="22"/>
        <v>2.0332951883004223E-5</v>
      </c>
      <c r="I457" s="331">
        <v>705644</v>
      </c>
      <c r="J457" s="331">
        <v>0</v>
      </c>
      <c r="K457" s="331">
        <f t="shared" si="23"/>
        <v>705644</v>
      </c>
      <c r="L457" s="199">
        <v>1.52</v>
      </c>
      <c r="M457" s="199">
        <v>2.04</v>
      </c>
    </row>
    <row r="458" spans="1:13" ht="15" customHeight="1" x14ac:dyDescent="0.25">
      <c r="A458" s="49">
        <v>2004</v>
      </c>
      <c r="B458" s="330" t="s">
        <v>14</v>
      </c>
      <c r="C458" s="331">
        <v>35306383758</v>
      </c>
      <c r="D458" s="331">
        <v>18601971481</v>
      </c>
      <c r="E458" s="331">
        <v>292908666</v>
      </c>
      <c r="F458" s="331">
        <v>305410</v>
      </c>
      <c r="G458" s="370">
        <f t="shared" si="21"/>
        <v>8.650277017702153E-6</v>
      </c>
      <c r="H458" s="370">
        <f t="shared" si="22"/>
        <v>1.6418152254020221E-5</v>
      </c>
      <c r="I458" s="331">
        <v>676723</v>
      </c>
      <c r="J458" s="331">
        <v>0</v>
      </c>
      <c r="K458" s="331">
        <f t="shared" si="23"/>
        <v>676723</v>
      </c>
      <c r="L458" s="199">
        <v>1.57</v>
      </c>
      <c r="M458" s="199">
        <v>2.04</v>
      </c>
    </row>
    <row r="459" spans="1:13" ht="15" customHeight="1" x14ac:dyDescent="0.25">
      <c r="A459" s="49">
        <v>2005</v>
      </c>
      <c r="B459" s="330" t="s">
        <v>14</v>
      </c>
      <c r="C459" s="331">
        <v>37088698426</v>
      </c>
      <c r="D459" s="331">
        <v>19606963198</v>
      </c>
      <c r="E459" s="331">
        <v>313647661</v>
      </c>
      <c r="F459" s="331">
        <v>288575</v>
      </c>
      <c r="G459" s="370">
        <f t="shared" si="21"/>
        <v>7.7806720711908983E-6</v>
      </c>
      <c r="H459" s="370">
        <f t="shared" si="22"/>
        <v>1.4717985497592813E-5</v>
      </c>
      <c r="I459" s="331">
        <v>676506</v>
      </c>
      <c r="J459" s="331">
        <v>0</v>
      </c>
      <c r="K459" s="331">
        <f t="shared" si="23"/>
        <v>676506</v>
      </c>
      <c r="L459" s="199">
        <v>1.6</v>
      </c>
      <c r="M459" s="199">
        <v>2.04</v>
      </c>
    </row>
    <row r="460" spans="1:13" ht="15" customHeight="1" x14ac:dyDescent="0.25">
      <c r="A460" s="49">
        <v>2006</v>
      </c>
      <c r="B460" s="330" t="s">
        <v>14</v>
      </c>
      <c r="C460" s="331">
        <v>39181067793</v>
      </c>
      <c r="D460" s="331">
        <v>20790095265</v>
      </c>
      <c r="E460" s="331">
        <v>334379961</v>
      </c>
      <c r="F460" s="331">
        <v>299060</v>
      </c>
      <c r="G460" s="370">
        <f t="shared" si="21"/>
        <v>7.6327679883555738E-6</v>
      </c>
      <c r="H460" s="370">
        <f t="shared" si="22"/>
        <v>1.4384734470335291E-5</v>
      </c>
      <c r="I460" s="331">
        <v>695732</v>
      </c>
      <c r="J460" s="331">
        <v>0</v>
      </c>
      <c r="K460" s="331">
        <f t="shared" si="23"/>
        <v>695732</v>
      </c>
      <c r="L460" s="199">
        <v>1.61</v>
      </c>
      <c r="M460" s="199">
        <v>2.04</v>
      </c>
    </row>
    <row r="461" spans="1:13" ht="15" customHeight="1" x14ac:dyDescent="0.25">
      <c r="A461" s="49">
        <v>2007</v>
      </c>
      <c r="B461" s="330" t="s">
        <v>14</v>
      </c>
      <c r="C461" s="331">
        <v>41155100258</v>
      </c>
      <c r="D461" s="331">
        <v>21734266324</v>
      </c>
      <c r="E461" s="331">
        <v>343954965</v>
      </c>
      <c r="F461" s="331">
        <v>323490</v>
      </c>
      <c r="G461" s="370">
        <f t="shared" si="21"/>
        <v>7.8602651426445708E-6</v>
      </c>
      <c r="H461" s="370">
        <f t="shared" si="22"/>
        <v>1.4883870252513982E-5</v>
      </c>
      <c r="I461" s="331">
        <v>740178</v>
      </c>
      <c r="J461" s="331">
        <v>0</v>
      </c>
      <c r="K461" s="331">
        <f t="shared" si="23"/>
        <v>740178</v>
      </c>
      <c r="L461" s="199">
        <v>1.58</v>
      </c>
      <c r="M461" s="199">
        <v>2.04</v>
      </c>
    </row>
    <row r="462" spans="1:13" ht="15" customHeight="1" x14ac:dyDescent="0.25">
      <c r="A462" s="49">
        <v>2008</v>
      </c>
      <c r="B462" s="330" t="s">
        <v>14</v>
      </c>
      <c r="C462" s="331">
        <v>42433142280</v>
      </c>
      <c r="D462" s="331">
        <v>22599711417</v>
      </c>
      <c r="E462" s="331">
        <v>358277985</v>
      </c>
      <c r="F462" s="331">
        <v>408661</v>
      </c>
      <c r="G462" s="370">
        <f t="shared" si="21"/>
        <v>9.6307032202188346E-6</v>
      </c>
      <c r="H462" s="370">
        <f t="shared" si="22"/>
        <v>1.8082576032037127E-5</v>
      </c>
      <c r="I462" s="331">
        <v>737040</v>
      </c>
      <c r="J462" s="331">
        <v>0</v>
      </c>
      <c r="K462" s="331">
        <f t="shared" si="23"/>
        <v>737040</v>
      </c>
      <c r="L462" s="199">
        <v>1.6</v>
      </c>
      <c r="M462" s="199">
        <v>2.04</v>
      </c>
    </row>
    <row r="463" spans="1:13" ht="15" customHeight="1" x14ac:dyDescent="0.25">
      <c r="A463" s="49">
        <v>2009</v>
      </c>
      <c r="B463" s="330" t="s">
        <v>14</v>
      </c>
      <c r="C463" s="331">
        <v>40589569886</v>
      </c>
      <c r="D463" s="331">
        <v>22068873099</v>
      </c>
      <c r="E463" s="331">
        <v>333080278</v>
      </c>
      <c r="F463" s="331">
        <v>770364</v>
      </c>
      <c r="G463" s="370">
        <f t="shared" si="21"/>
        <v>1.8979358543676291E-5</v>
      </c>
      <c r="H463" s="370">
        <f t="shared" si="22"/>
        <v>3.4907264931207895E-5</v>
      </c>
      <c r="I463" s="331">
        <v>383905</v>
      </c>
      <c r="J463" s="331">
        <v>0</v>
      </c>
      <c r="K463" s="331">
        <f t="shared" si="23"/>
        <v>383905</v>
      </c>
      <c r="L463" s="199">
        <v>1.5</v>
      </c>
      <c r="M463" s="199">
        <v>1.36</v>
      </c>
    </row>
    <row r="464" spans="1:13" ht="15" customHeight="1" x14ac:dyDescent="0.25">
      <c r="A464" s="49">
        <v>2010</v>
      </c>
      <c r="B464" s="330" t="s">
        <v>14</v>
      </c>
      <c r="C464" s="331">
        <v>41416704675</v>
      </c>
      <c r="D464" s="331">
        <v>22437378136</v>
      </c>
      <c r="E464" s="331">
        <v>515239665</v>
      </c>
      <c r="F464" s="331">
        <v>567257</v>
      </c>
      <c r="G464" s="370">
        <f t="shared" si="21"/>
        <v>1.3696333507248062E-5</v>
      </c>
      <c r="H464" s="370">
        <f t="shared" si="22"/>
        <v>2.5281786337141401E-5</v>
      </c>
      <c r="I464" s="331">
        <v>310023</v>
      </c>
      <c r="J464" s="331">
        <v>0</v>
      </c>
      <c r="K464" s="331">
        <f t="shared" si="23"/>
        <v>310023</v>
      </c>
      <c r="L464" s="199">
        <v>2.2999999999999998</v>
      </c>
      <c r="M464" s="199">
        <v>1.46</v>
      </c>
    </row>
    <row r="465" spans="1:13" ht="15" customHeight="1" x14ac:dyDescent="0.25">
      <c r="A465" s="49">
        <v>2011</v>
      </c>
      <c r="B465" s="330" t="s">
        <v>14</v>
      </c>
      <c r="C465" s="331">
        <v>43349522382</v>
      </c>
      <c r="D465" s="331">
        <v>23332019920</v>
      </c>
      <c r="E465" s="331">
        <v>638230708</v>
      </c>
      <c r="F465" s="331">
        <v>448212</v>
      </c>
      <c r="G465" s="370">
        <f t="shared" si="21"/>
        <v>1.0339491080208782E-5</v>
      </c>
      <c r="H465" s="370">
        <f t="shared" si="22"/>
        <v>1.9210167038122433E-5</v>
      </c>
      <c r="I465" s="331">
        <v>507550</v>
      </c>
      <c r="J465" s="331">
        <v>0</v>
      </c>
      <c r="K465" s="331">
        <f t="shared" si="23"/>
        <v>507550</v>
      </c>
      <c r="L465" s="199">
        <v>2.7</v>
      </c>
      <c r="M465" s="199">
        <v>1.46</v>
      </c>
    </row>
    <row r="466" spans="1:13" ht="15" customHeight="1" x14ac:dyDescent="0.25">
      <c r="A466" s="49">
        <v>2012</v>
      </c>
      <c r="B466" s="330" t="s">
        <v>14</v>
      </c>
      <c r="C466" s="331">
        <v>45571075216</v>
      </c>
      <c r="D466" s="331">
        <v>24330353991</v>
      </c>
      <c r="E466" s="331">
        <v>588339013</v>
      </c>
      <c r="F466" s="331">
        <v>401347</v>
      </c>
      <c r="G466" s="370">
        <f t="shared" si="21"/>
        <v>8.8070557496762129E-6</v>
      </c>
      <c r="H466" s="370">
        <f t="shared" si="22"/>
        <v>1.6495732045183624E-5</v>
      </c>
      <c r="I466" s="331">
        <v>712023</v>
      </c>
      <c r="J466" s="331">
        <v>0</v>
      </c>
      <c r="K466" s="331">
        <f t="shared" si="23"/>
        <v>712023</v>
      </c>
      <c r="L466" s="199">
        <v>2.42</v>
      </c>
      <c r="M466" s="199">
        <v>1.46</v>
      </c>
    </row>
    <row r="467" spans="1:13" ht="15" customHeight="1" x14ac:dyDescent="0.25">
      <c r="A467" s="49">
        <v>2013</v>
      </c>
      <c r="B467" s="330" t="s">
        <v>14</v>
      </c>
      <c r="C467" s="331">
        <v>47180256940</v>
      </c>
      <c r="D467" s="331">
        <v>25336478879</v>
      </c>
      <c r="E467" s="331">
        <v>533504744</v>
      </c>
      <c r="F467" s="331">
        <v>400768</v>
      </c>
      <c r="G467" s="370">
        <f t="shared" si="21"/>
        <v>8.4944005393964689E-6</v>
      </c>
      <c r="H467" s="370">
        <f t="shared" si="22"/>
        <v>1.5817825433200758E-5</v>
      </c>
      <c r="I467" s="331">
        <v>865594</v>
      </c>
      <c r="J467" s="331">
        <v>0</v>
      </c>
      <c r="K467" s="331">
        <f t="shared" si="23"/>
        <v>865594</v>
      </c>
      <c r="L467" s="199">
        <v>2.11</v>
      </c>
      <c r="M467" s="199">
        <v>1.46</v>
      </c>
    </row>
    <row r="468" spans="1:13" ht="15" customHeight="1" x14ac:dyDescent="0.25">
      <c r="A468" s="49">
        <v>2014</v>
      </c>
      <c r="B468" s="330" t="s">
        <v>14</v>
      </c>
      <c r="C468" s="331">
        <v>49694173477</v>
      </c>
      <c r="D468" s="331">
        <v>26665381459</v>
      </c>
      <c r="E468" s="331">
        <v>431069403</v>
      </c>
      <c r="F468" s="331">
        <v>386046</v>
      </c>
      <c r="G468" s="370">
        <f t="shared" si="21"/>
        <v>7.7684358746538776E-6</v>
      </c>
      <c r="H468" s="370">
        <f t="shared" si="22"/>
        <v>1.4477422743551384E-5</v>
      </c>
      <c r="I468" s="331">
        <v>940113</v>
      </c>
      <c r="J468" s="331">
        <v>0</v>
      </c>
      <c r="K468" s="331">
        <f t="shared" si="23"/>
        <v>940113</v>
      </c>
      <c r="L468" s="333">
        <v>1.6165881731817755</v>
      </c>
      <c r="M468" s="199">
        <v>1.46</v>
      </c>
    </row>
    <row r="469" spans="1:13" ht="15" customHeight="1" x14ac:dyDescent="0.25">
      <c r="A469" s="49">
        <v>2015</v>
      </c>
      <c r="B469" s="330" t="s">
        <v>14</v>
      </c>
      <c r="C469" s="334">
        <v>52056486000</v>
      </c>
      <c r="D469" s="334">
        <v>27742866000</v>
      </c>
      <c r="E469" s="334">
        <v>365311000</v>
      </c>
      <c r="F469" s="331">
        <v>383493</v>
      </c>
      <c r="G469" s="370">
        <f t="shared" si="21"/>
        <v>7.3668629880242011E-6</v>
      </c>
      <c r="H469" s="370">
        <f t="shared" si="22"/>
        <v>1.3823121230517424E-5</v>
      </c>
      <c r="I469" s="331">
        <v>943250</v>
      </c>
      <c r="J469" s="199">
        <v>0</v>
      </c>
      <c r="K469" s="331">
        <f t="shared" si="23"/>
        <v>943250</v>
      </c>
      <c r="L469" s="199">
        <v>1.3</v>
      </c>
      <c r="M469" s="199">
        <v>1.45</v>
      </c>
    </row>
    <row r="470" spans="1:13" ht="15" customHeight="1" x14ac:dyDescent="0.25">
      <c r="A470" s="49">
        <v>1980</v>
      </c>
      <c r="B470" s="330" t="s">
        <v>15</v>
      </c>
      <c r="C470" s="331">
        <v>3107340129</v>
      </c>
      <c r="D470" s="331">
        <v>2095025048</v>
      </c>
      <c r="E470" s="331">
        <v>43466540</v>
      </c>
      <c r="F470" s="331">
        <v>54101</v>
      </c>
      <c r="G470" s="370">
        <f t="shared" si="21"/>
        <v>1.741071068953456E-5</v>
      </c>
      <c r="H470" s="370">
        <f t="shared" si="22"/>
        <v>2.5823557599775296E-5</v>
      </c>
      <c r="I470" s="331">
        <v>90488</v>
      </c>
      <c r="J470" s="331">
        <v>0</v>
      </c>
      <c r="K470" s="331">
        <f t="shared" si="23"/>
        <v>90488</v>
      </c>
      <c r="L470" s="199">
        <v>2.0699999999999998</v>
      </c>
      <c r="M470" s="199">
        <v>1.87</v>
      </c>
    </row>
    <row r="471" spans="1:13" ht="15" customHeight="1" x14ac:dyDescent="0.25">
      <c r="A471" s="49">
        <v>1981</v>
      </c>
      <c r="B471" s="330" t="s">
        <v>15</v>
      </c>
      <c r="C471" s="331">
        <v>3395540162</v>
      </c>
      <c r="D471" s="331">
        <v>2298716760</v>
      </c>
      <c r="E471" s="331">
        <v>43247288</v>
      </c>
      <c r="F471" s="331">
        <v>56098</v>
      </c>
      <c r="G471" s="370">
        <f t="shared" si="21"/>
        <v>1.6521082750780315E-5</v>
      </c>
      <c r="H471" s="370">
        <f t="shared" si="22"/>
        <v>2.4404050545139802E-5</v>
      </c>
      <c r="I471" s="331">
        <v>83572</v>
      </c>
      <c r="J471" s="331">
        <v>0</v>
      </c>
      <c r="K471" s="331">
        <f t="shared" si="23"/>
        <v>83572</v>
      </c>
      <c r="L471" s="199">
        <v>1.88</v>
      </c>
      <c r="M471" s="199">
        <v>1.76</v>
      </c>
    </row>
    <row r="472" spans="1:13" ht="15" customHeight="1" x14ac:dyDescent="0.25">
      <c r="A472" s="49">
        <v>1982</v>
      </c>
      <c r="B472" s="330" t="s">
        <v>15</v>
      </c>
      <c r="C472" s="331">
        <v>3351872635</v>
      </c>
      <c r="D472" s="331">
        <v>2304730807</v>
      </c>
      <c r="E472" s="331">
        <v>47651704</v>
      </c>
      <c r="F472" s="331">
        <v>91929</v>
      </c>
      <c r="G472" s="370">
        <f t="shared" si="21"/>
        <v>2.7426161435874486E-5</v>
      </c>
      <c r="H472" s="370">
        <f t="shared" si="22"/>
        <v>3.9887087776494501E-5</v>
      </c>
      <c r="I472" s="331">
        <v>28916</v>
      </c>
      <c r="J472" s="331">
        <v>0</v>
      </c>
      <c r="K472" s="331">
        <f t="shared" si="23"/>
        <v>28916</v>
      </c>
      <c r="L472" s="199">
        <v>2.0699999999999998</v>
      </c>
      <c r="M472" s="199">
        <v>2.2599999999999998</v>
      </c>
    </row>
    <row r="473" spans="1:13" ht="15" customHeight="1" x14ac:dyDescent="0.25">
      <c r="A473" s="49">
        <v>1983</v>
      </c>
      <c r="B473" s="330" t="s">
        <v>15</v>
      </c>
      <c r="C473" s="331">
        <v>3579875385</v>
      </c>
      <c r="D473" s="331">
        <v>2492737258</v>
      </c>
      <c r="E473" s="331">
        <v>70341411</v>
      </c>
      <c r="F473" s="331">
        <v>68885</v>
      </c>
      <c r="G473" s="370">
        <f t="shared" si="21"/>
        <v>1.9242289910043895E-5</v>
      </c>
      <c r="H473" s="370">
        <f t="shared" si="22"/>
        <v>2.7634280259151163E-5</v>
      </c>
      <c r="I473" s="331">
        <v>18278</v>
      </c>
      <c r="J473" s="331">
        <v>0</v>
      </c>
      <c r="K473" s="331">
        <f t="shared" si="23"/>
        <v>18278</v>
      </c>
      <c r="L473" s="199">
        <v>2.82</v>
      </c>
      <c r="M473" s="199">
        <v>2.37</v>
      </c>
    </row>
    <row r="474" spans="1:13" ht="15" customHeight="1" x14ac:dyDescent="0.25">
      <c r="A474" s="49">
        <v>1984</v>
      </c>
      <c r="B474" s="330" t="s">
        <v>15</v>
      </c>
      <c r="C474" s="331">
        <v>3869155638</v>
      </c>
      <c r="D474" s="331">
        <v>2645614818</v>
      </c>
      <c r="E474" s="331">
        <v>91263030</v>
      </c>
      <c r="F474" s="331">
        <v>56676</v>
      </c>
      <c r="G474" s="370">
        <f t="shared" si="21"/>
        <v>1.4648157195686321E-5</v>
      </c>
      <c r="H474" s="370">
        <f t="shared" si="22"/>
        <v>2.1422619655133787E-5</v>
      </c>
      <c r="I474" s="331">
        <v>54525</v>
      </c>
      <c r="J474" s="331">
        <v>0</v>
      </c>
      <c r="K474" s="331">
        <f t="shared" si="23"/>
        <v>54525</v>
      </c>
      <c r="L474" s="199">
        <v>3.45</v>
      </c>
      <c r="M474" s="199">
        <v>2.37</v>
      </c>
    </row>
    <row r="475" spans="1:13" ht="15" customHeight="1" x14ac:dyDescent="0.25">
      <c r="A475" s="49">
        <v>1985</v>
      </c>
      <c r="B475" s="330" t="s">
        <v>15</v>
      </c>
      <c r="C475" s="331">
        <v>4059558831</v>
      </c>
      <c r="D475" s="331">
        <v>2778120311</v>
      </c>
      <c r="E475" s="331">
        <v>83641263</v>
      </c>
      <c r="F475" s="331">
        <v>66390</v>
      </c>
      <c r="G475" s="370">
        <f t="shared" si="21"/>
        <v>1.6353993811599967E-5</v>
      </c>
      <c r="H475" s="370">
        <f t="shared" si="22"/>
        <v>2.3897453158212054E-5</v>
      </c>
      <c r="I475" s="331">
        <v>82728</v>
      </c>
      <c r="J475" s="331">
        <v>0</v>
      </c>
      <c r="K475" s="331">
        <f t="shared" si="23"/>
        <v>82728</v>
      </c>
      <c r="L475" s="199">
        <v>3.01</v>
      </c>
      <c r="M475" s="199">
        <v>2.37</v>
      </c>
    </row>
    <row r="476" spans="1:13" ht="15" customHeight="1" x14ac:dyDescent="0.25">
      <c r="A476" s="49">
        <v>1986</v>
      </c>
      <c r="B476" s="330" t="s">
        <v>15</v>
      </c>
      <c r="C476" s="331">
        <v>4067342495</v>
      </c>
      <c r="D476" s="331">
        <v>2816778150</v>
      </c>
      <c r="E476" s="331">
        <v>83814942</v>
      </c>
      <c r="F476" s="331">
        <v>74141</v>
      </c>
      <c r="G476" s="370">
        <f t="shared" si="21"/>
        <v>1.8228364120096063E-5</v>
      </c>
      <c r="H476" s="370">
        <f t="shared" si="22"/>
        <v>2.6321206730462604E-5</v>
      </c>
      <c r="I476" s="331">
        <v>97106</v>
      </c>
      <c r="J476" s="331">
        <v>0</v>
      </c>
      <c r="K476" s="331">
        <f t="shared" si="23"/>
        <v>97106</v>
      </c>
      <c r="L476" s="199">
        <v>2.98</v>
      </c>
      <c r="M476" s="199">
        <v>2.38</v>
      </c>
    </row>
    <row r="477" spans="1:13" ht="15" customHeight="1" x14ac:dyDescent="0.25">
      <c r="A477" s="49">
        <v>1987</v>
      </c>
      <c r="B477" s="330" t="s">
        <v>15</v>
      </c>
      <c r="C477" s="331">
        <v>4246717153</v>
      </c>
      <c r="D477" s="331">
        <v>2932572113</v>
      </c>
      <c r="E477" s="331">
        <v>86880230</v>
      </c>
      <c r="F477" s="331">
        <v>63983</v>
      </c>
      <c r="G477" s="370">
        <f t="shared" si="21"/>
        <v>1.5066461385308088E-5</v>
      </c>
      <c r="H477" s="370">
        <f t="shared" si="22"/>
        <v>2.1818048298408543E-5</v>
      </c>
      <c r="I477" s="331">
        <v>126166</v>
      </c>
      <c r="J477" s="331">
        <v>0</v>
      </c>
      <c r="K477" s="331">
        <f t="shared" si="23"/>
        <v>126166</v>
      </c>
      <c r="L477" s="199">
        <v>2.96</v>
      </c>
      <c r="M477" s="199">
        <v>2.38</v>
      </c>
    </row>
    <row r="478" spans="1:13" ht="15" customHeight="1" x14ac:dyDescent="0.25">
      <c r="A478" s="49">
        <v>1988</v>
      </c>
      <c r="B478" s="330" t="s">
        <v>15</v>
      </c>
      <c r="C478" s="331">
        <v>4635513334</v>
      </c>
      <c r="D478" s="331">
        <v>3115678864</v>
      </c>
      <c r="E478" s="331">
        <v>92779353</v>
      </c>
      <c r="F478" s="331">
        <v>54626</v>
      </c>
      <c r="G478" s="370">
        <f t="shared" si="21"/>
        <v>1.1784239643824525E-5</v>
      </c>
      <c r="H478" s="370">
        <f t="shared" si="22"/>
        <v>1.7532615646360146E-5</v>
      </c>
      <c r="I478" s="331">
        <v>176667</v>
      </c>
      <c r="J478" s="331">
        <v>0</v>
      </c>
      <c r="K478" s="331">
        <f t="shared" si="23"/>
        <v>176667</v>
      </c>
      <c r="L478" s="199">
        <v>2.98</v>
      </c>
      <c r="M478" s="199">
        <v>2.38</v>
      </c>
    </row>
    <row r="479" spans="1:13" ht="15" customHeight="1" x14ac:dyDescent="0.25">
      <c r="A479" s="49">
        <v>1989</v>
      </c>
      <c r="B479" s="330" t="s">
        <v>15</v>
      </c>
      <c r="C479" s="331">
        <v>5061878745</v>
      </c>
      <c r="D479" s="331">
        <v>3404628671</v>
      </c>
      <c r="E479" s="331">
        <v>73135033</v>
      </c>
      <c r="F479" s="331">
        <v>51553</v>
      </c>
      <c r="G479" s="370">
        <f t="shared" si="21"/>
        <v>1.0184558460813149E-5</v>
      </c>
      <c r="H479" s="370">
        <f t="shared" si="22"/>
        <v>1.5142033091337965E-5</v>
      </c>
      <c r="I479" s="331">
        <v>219765</v>
      </c>
      <c r="J479" s="331">
        <v>0</v>
      </c>
      <c r="K479" s="331">
        <f t="shared" si="23"/>
        <v>219765</v>
      </c>
      <c r="L479" s="199">
        <v>2.15</v>
      </c>
      <c r="M479" s="199">
        <v>2.38</v>
      </c>
    </row>
    <row r="480" spans="1:13" ht="15" customHeight="1" x14ac:dyDescent="0.25">
      <c r="A480" s="49">
        <v>1990</v>
      </c>
      <c r="B480" s="330" t="s">
        <v>15</v>
      </c>
      <c r="C480" s="331">
        <v>5605403442</v>
      </c>
      <c r="D480" s="331">
        <v>3763627722</v>
      </c>
      <c r="E480" s="331">
        <v>65317082</v>
      </c>
      <c r="F480" s="331">
        <v>55326</v>
      </c>
      <c r="G480" s="370">
        <f t="shared" si="21"/>
        <v>9.8701191756252538E-6</v>
      </c>
      <c r="H480" s="370">
        <f t="shared" si="22"/>
        <v>1.4700178680424758E-5</v>
      </c>
      <c r="I480" s="331">
        <v>252655</v>
      </c>
      <c r="J480" s="331">
        <v>0</v>
      </c>
      <c r="K480" s="331">
        <f t="shared" si="23"/>
        <v>252655</v>
      </c>
      <c r="L480" s="199">
        <v>1.74</v>
      </c>
      <c r="M480" s="199">
        <v>2.38</v>
      </c>
    </row>
    <row r="481" spans="1:13" ht="15" customHeight="1" x14ac:dyDescent="0.25">
      <c r="A481" s="49">
        <v>1991</v>
      </c>
      <c r="B481" s="330" t="s">
        <v>15</v>
      </c>
      <c r="C481" s="331">
        <v>5961812221</v>
      </c>
      <c r="D481" s="331">
        <v>4010986116</v>
      </c>
      <c r="E481" s="331">
        <v>52804806</v>
      </c>
      <c r="F481" s="331">
        <v>77069</v>
      </c>
      <c r="G481" s="370">
        <f t="shared" si="21"/>
        <v>1.2927109600757081E-5</v>
      </c>
      <c r="H481" s="370">
        <f t="shared" si="22"/>
        <v>1.9214476882023693E-5</v>
      </c>
      <c r="I481" s="331">
        <v>243573</v>
      </c>
      <c r="J481" s="331">
        <v>0</v>
      </c>
      <c r="K481" s="331">
        <f t="shared" si="23"/>
        <v>243573</v>
      </c>
      <c r="L481" s="199">
        <v>1.32</v>
      </c>
      <c r="M481" s="199">
        <v>2.38</v>
      </c>
    </row>
    <row r="482" spans="1:13" ht="15" customHeight="1" x14ac:dyDescent="0.25">
      <c r="A482" s="49">
        <v>1992</v>
      </c>
      <c r="B482" s="330" t="s">
        <v>15</v>
      </c>
      <c r="C482" s="331">
        <v>6539625482</v>
      </c>
      <c r="D482" s="331">
        <v>4356534568</v>
      </c>
      <c r="E482" s="331">
        <v>75608878</v>
      </c>
      <c r="F482" s="331">
        <v>78227</v>
      </c>
      <c r="G482" s="370">
        <f t="shared" si="21"/>
        <v>1.1961999997601697E-5</v>
      </c>
      <c r="H482" s="370">
        <f t="shared" si="22"/>
        <v>1.7956244528529585E-5</v>
      </c>
      <c r="I482" s="331">
        <v>240141</v>
      </c>
      <c r="J482" s="331">
        <v>0</v>
      </c>
      <c r="K482" s="331">
        <f t="shared" si="23"/>
        <v>240141</v>
      </c>
      <c r="L482" s="199">
        <v>1.74</v>
      </c>
      <c r="M482" s="199">
        <v>2.38</v>
      </c>
    </row>
    <row r="483" spans="1:13" ht="15" customHeight="1" x14ac:dyDescent="0.25">
      <c r="A483" s="49">
        <v>1993</v>
      </c>
      <c r="B483" s="330" t="s">
        <v>15</v>
      </c>
      <c r="C483" s="331">
        <v>7094554215</v>
      </c>
      <c r="D483" s="331">
        <v>4733348425</v>
      </c>
      <c r="E483" s="331">
        <v>83502017</v>
      </c>
      <c r="F483" s="331">
        <v>74381</v>
      </c>
      <c r="G483" s="370">
        <f t="shared" si="21"/>
        <v>1.0484238719712145E-5</v>
      </c>
      <c r="H483" s="370">
        <f t="shared" si="22"/>
        <v>1.5714245671656845E-5</v>
      </c>
      <c r="I483" s="331">
        <v>247823</v>
      </c>
      <c r="J483" s="331">
        <v>0</v>
      </c>
      <c r="K483" s="331">
        <f t="shared" si="23"/>
        <v>247823</v>
      </c>
      <c r="L483" s="199">
        <v>1.76</v>
      </c>
      <c r="M483" s="199">
        <v>2.38</v>
      </c>
    </row>
    <row r="484" spans="1:13" ht="15" customHeight="1" x14ac:dyDescent="0.25">
      <c r="A484" s="49">
        <v>1994</v>
      </c>
      <c r="B484" s="330" t="s">
        <v>15</v>
      </c>
      <c r="C484" s="331">
        <v>7815943052</v>
      </c>
      <c r="D484" s="331">
        <v>5278132074</v>
      </c>
      <c r="E484" s="331">
        <v>73969989</v>
      </c>
      <c r="F484" s="331">
        <v>78239</v>
      </c>
      <c r="G484" s="370">
        <f t="shared" si="21"/>
        <v>1.001018040682623E-5</v>
      </c>
      <c r="H484" s="370">
        <f t="shared" si="22"/>
        <v>1.4823236497889879E-5</v>
      </c>
      <c r="I484" s="331">
        <v>245096</v>
      </c>
      <c r="J484" s="331">
        <v>0</v>
      </c>
      <c r="K484" s="331">
        <f t="shared" si="23"/>
        <v>245096</v>
      </c>
      <c r="L484" s="199">
        <v>1.4</v>
      </c>
      <c r="M484" s="199">
        <v>2.38</v>
      </c>
    </row>
    <row r="485" spans="1:13" ht="15" customHeight="1" x14ac:dyDescent="0.25">
      <c r="A485" s="49">
        <v>1995</v>
      </c>
      <c r="B485" s="330" t="s">
        <v>15</v>
      </c>
      <c r="C485" s="331">
        <v>8453371518</v>
      </c>
      <c r="D485" s="331">
        <v>5633252641</v>
      </c>
      <c r="E485" s="331">
        <v>78140295</v>
      </c>
      <c r="F485" s="331">
        <v>91741</v>
      </c>
      <c r="G485" s="370">
        <f t="shared" si="21"/>
        <v>1.0852592933441211E-5</v>
      </c>
      <c r="H485" s="370">
        <f t="shared" si="22"/>
        <v>1.6285617891924405E-5</v>
      </c>
      <c r="I485" s="331">
        <v>243090</v>
      </c>
      <c r="J485" s="331">
        <v>0</v>
      </c>
      <c r="K485" s="331">
        <f t="shared" si="23"/>
        <v>243090</v>
      </c>
      <c r="L485" s="199">
        <v>1.39</v>
      </c>
      <c r="M485" s="199">
        <v>2.38</v>
      </c>
    </row>
    <row r="486" spans="1:13" ht="15" customHeight="1" x14ac:dyDescent="0.25">
      <c r="A486" s="49">
        <v>1996</v>
      </c>
      <c r="B486" s="330" t="s">
        <v>15</v>
      </c>
      <c r="C486" s="331">
        <v>8909641792</v>
      </c>
      <c r="D486" s="331">
        <v>6000354932</v>
      </c>
      <c r="E486" s="331">
        <v>107683938</v>
      </c>
      <c r="F486" s="331">
        <v>95760</v>
      </c>
      <c r="G486" s="370">
        <f t="shared" si="21"/>
        <v>1.0747906844693045E-5</v>
      </c>
      <c r="H486" s="370">
        <f t="shared" si="22"/>
        <v>1.5959055936726379E-5</v>
      </c>
      <c r="I486" s="331">
        <v>266228</v>
      </c>
      <c r="J486" s="331">
        <v>0</v>
      </c>
      <c r="K486" s="331">
        <f t="shared" si="23"/>
        <v>266228</v>
      </c>
      <c r="L486" s="199">
        <v>1.79</v>
      </c>
      <c r="M486" s="199">
        <v>2.38</v>
      </c>
    </row>
    <row r="487" spans="1:13" ht="15" customHeight="1" x14ac:dyDescent="0.25">
      <c r="A487" s="49">
        <v>1997</v>
      </c>
      <c r="B487" s="330" t="s">
        <v>15</v>
      </c>
      <c r="C487" s="331">
        <v>9519331469</v>
      </c>
      <c r="D487" s="331">
        <v>6256758201</v>
      </c>
      <c r="E487" s="331">
        <v>87399020</v>
      </c>
      <c r="F487" s="331">
        <v>89870</v>
      </c>
      <c r="G487" s="370">
        <f t="shared" si="21"/>
        <v>9.440789018920547E-6</v>
      </c>
      <c r="H487" s="370">
        <f t="shared" si="22"/>
        <v>1.436366839070692E-5</v>
      </c>
      <c r="I487" s="331">
        <v>280382</v>
      </c>
      <c r="J487" s="331">
        <v>0</v>
      </c>
      <c r="K487" s="331">
        <f t="shared" si="23"/>
        <v>280382</v>
      </c>
      <c r="L487" s="199">
        <v>1.4</v>
      </c>
      <c r="M487" s="199">
        <v>2.38</v>
      </c>
    </row>
    <row r="488" spans="1:13" ht="15" customHeight="1" x14ac:dyDescent="0.25">
      <c r="A488" s="49">
        <v>1998</v>
      </c>
      <c r="B488" s="330" t="s">
        <v>15</v>
      </c>
      <c r="C488" s="331">
        <v>10177186942</v>
      </c>
      <c r="D488" s="331">
        <v>6868303030</v>
      </c>
      <c r="E488" s="331">
        <v>78762736</v>
      </c>
      <c r="F488" s="331">
        <v>91111</v>
      </c>
      <c r="G488" s="370">
        <f t="shared" si="21"/>
        <v>8.9524738534570981E-6</v>
      </c>
      <c r="H488" s="370">
        <f t="shared" si="22"/>
        <v>1.3265431009965209E-5</v>
      </c>
      <c r="I488" s="331">
        <v>266987</v>
      </c>
      <c r="J488" s="331">
        <v>0</v>
      </c>
      <c r="K488" s="331">
        <f t="shared" si="23"/>
        <v>266987</v>
      </c>
      <c r="L488" s="199">
        <v>1.1499999999999999</v>
      </c>
      <c r="M488" s="199">
        <v>2.38</v>
      </c>
    </row>
    <row r="489" spans="1:13" ht="15" customHeight="1" x14ac:dyDescent="0.25">
      <c r="A489" s="49">
        <v>1999</v>
      </c>
      <c r="B489" s="330" t="s">
        <v>15</v>
      </c>
      <c r="C489" s="331">
        <v>11053263750</v>
      </c>
      <c r="D489" s="331">
        <v>7336018000</v>
      </c>
      <c r="E489" s="331">
        <v>85519018</v>
      </c>
      <c r="F489" s="331">
        <v>97305</v>
      </c>
      <c r="G489" s="370">
        <f t="shared" si="21"/>
        <v>8.8032821979842834E-6</v>
      </c>
      <c r="H489" s="370">
        <f t="shared" si="22"/>
        <v>1.3264007803688595E-5</v>
      </c>
      <c r="I489" s="331">
        <v>267444</v>
      </c>
      <c r="J489" s="331">
        <v>0</v>
      </c>
      <c r="K489" s="331">
        <f t="shared" si="23"/>
        <v>267444</v>
      </c>
      <c r="L489" s="199">
        <v>1.17</v>
      </c>
      <c r="M489" s="199">
        <v>2.38</v>
      </c>
    </row>
    <row r="490" spans="1:13" ht="15" customHeight="1" x14ac:dyDescent="0.25">
      <c r="A490" s="49">
        <v>2000</v>
      </c>
      <c r="B490" s="330" t="s">
        <v>15</v>
      </c>
      <c r="C490" s="331">
        <v>12327548930</v>
      </c>
      <c r="D490" s="331">
        <v>7940872326</v>
      </c>
      <c r="E490" s="331">
        <v>94108164</v>
      </c>
      <c r="F490" s="331">
        <v>98804</v>
      </c>
      <c r="G490" s="370">
        <f t="shared" si="21"/>
        <v>8.0148941659889237E-6</v>
      </c>
      <c r="H490" s="370">
        <f t="shared" si="22"/>
        <v>1.2442461727598364E-5</v>
      </c>
      <c r="I490" s="331">
        <v>277848</v>
      </c>
      <c r="J490" s="331">
        <v>0</v>
      </c>
      <c r="K490" s="331">
        <f t="shared" si="23"/>
        <v>277848</v>
      </c>
      <c r="L490" s="199">
        <v>1.19</v>
      </c>
      <c r="M490" s="199">
        <v>2.38</v>
      </c>
    </row>
    <row r="491" spans="1:13" x14ac:dyDescent="0.25">
      <c r="A491" s="49">
        <v>2001</v>
      </c>
      <c r="B491" s="330" t="s">
        <v>15</v>
      </c>
      <c r="C491" s="331">
        <v>12347223741</v>
      </c>
      <c r="D491" s="331">
        <v>8315899856</v>
      </c>
      <c r="E491" s="331">
        <v>98801871</v>
      </c>
      <c r="F491" s="331">
        <v>140700</v>
      </c>
      <c r="G491" s="370">
        <f t="shared" si="21"/>
        <v>1.1395274188868365E-5</v>
      </c>
      <c r="H491" s="370">
        <f t="shared" si="22"/>
        <v>1.6919395668104832E-5</v>
      </c>
      <c r="I491" s="331">
        <v>233387</v>
      </c>
      <c r="J491" s="331">
        <v>0</v>
      </c>
      <c r="K491" s="331">
        <f t="shared" si="23"/>
        <v>233387</v>
      </c>
      <c r="L491" s="199">
        <v>1.19</v>
      </c>
      <c r="M491" s="199">
        <v>2.38</v>
      </c>
    </row>
    <row r="492" spans="1:13" ht="15" customHeight="1" x14ac:dyDescent="0.25">
      <c r="A492" s="49">
        <v>2002</v>
      </c>
      <c r="B492" s="330" t="s">
        <v>15</v>
      </c>
      <c r="C492" s="331">
        <v>12409314903</v>
      </c>
      <c r="D492" s="331">
        <v>8557789237</v>
      </c>
      <c r="E492" s="331">
        <v>101119160</v>
      </c>
      <c r="F492" s="331">
        <v>173306</v>
      </c>
      <c r="G492" s="370">
        <f t="shared" si="21"/>
        <v>1.396579918832607E-5</v>
      </c>
      <c r="H492" s="370">
        <f t="shared" si="22"/>
        <v>2.0251258263139203E-5</v>
      </c>
      <c r="I492" s="331">
        <v>194645</v>
      </c>
      <c r="J492" s="331">
        <v>0</v>
      </c>
      <c r="K492" s="331">
        <f t="shared" si="23"/>
        <v>194645</v>
      </c>
      <c r="L492" s="199">
        <v>1.18</v>
      </c>
      <c r="M492" s="199">
        <v>2.38</v>
      </c>
    </row>
    <row r="493" spans="1:13" ht="15" customHeight="1" x14ac:dyDescent="0.25">
      <c r="A493" s="49">
        <v>2003</v>
      </c>
      <c r="B493" s="330" t="s">
        <v>15</v>
      </c>
      <c r="C493" s="331">
        <v>12698532071</v>
      </c>
      <c r="D493" s="331">
        <v>8738807545</v>
      </c>
      <c r="E493" s="331">
        <v>107208174</v>
      </c>
      <c r="F493" s="331">
        <v>176309</v>
      </c>
      <c r="G493" s="370">
        <f t="shared" si="21"/>
        <v>1.3884203230280601E-5</v>
      </c>
      <c r="H493" s="370">
        <f t="shared" si="22"/>
        <v>2.0175407124153572E-5</v>
      </c>
      <c r="I493" s="331">
        <v>127302</v>
      </c>
      <c r="J493" s="331">
        <v>0</v>
      </c>
      <c r="K493" s="331">
        <f t="shared" si="23"/>
        <v>127302</v>
      </c>
      <c r="L493" s="199">
        <v>1.23</v>
      </c>
      <c r="M493" s="199">
        <v>2.38</v>
      </c>
    </row>
    <row r="494" spans="1:13" ht="15" customHeight="1" x14ac:dyDescent="0.25">
      <c r="A494" s="49">
        <v>2004</v>
      </c>
      <c r="B494" s="330" t="s">
        <v>15</v>
      </c>
      <c r="C494" s="331">
        <v>13636025782</v>
      </c>
      <c r="D494" s="331">
        <v>9140159176</v>
      </c>
      <c r="E494" s="331">
        <v>115129600</v>
      </c>
      <c r="F494" s="331">
        <v>137870</v>
      </c>
      <c r="G494" s="370">
        <f t="shared" si="21"/>
        <v>1.0110717169660453E-5</v>
      </c>
      <c r="H494" s="370">
        <f t="shared" si="22"/>
        <v>1.5083982384247265E-5</v>
      </c>
      <c r="I494" s="331">
        <v>106963</v>
      </c>
      <c r="J494" s="331">
        <v>0</v>
      </c>
      <c r="K494" s="331">
        <f t="shared" si="23"/>
        <v>106963</v>
      </c>
      <c r="L494" s="199">
        <v>1.26</v>
      </c>
      <c r="M494" s="199">
        <v>2.38</v>
      </c>
    </row>
    <row r="495" spans="1:13" ht="15" customHeight="1" x14ac:dyDescent="0.25">
      <c r="A495" s="49">
        <v>2005</v>
      </c>
      <c r="B495" s="330" t="s">
        <v>15</v>
      </c>
      <c r="C495" s="331">
        <v>14767662648</v>
      </c>
      <c r="D495" s="331">
        <v>9820388412</v>
      </c>
      <c r="E495" s="331">
        <v>138168621</v>
      </c>
      <c r="F495" s="331">
        <v>114050</v>
      </c>
      <c r="G495" s="370">
        <f t="shared" si="21"/>
        <v>7.7229554004909441E-6</v>
      </c>
      <c r="H495" s="370">
        <f t="shared" si="22"/>
        <v>1.1613593598867931E-5</v>
      </c>
      <c r="I495" s="331">
        <v>135885</v>
      </c>
      <c r="J495" s="331">
        <v>0</v>
      </c>
      <c r="K495" s="331">
        <f t="shared" si="23"/>
        <v>135885</v>
      </c>
      <c r="L495" s="199">
        <v>1.41</v>
      </c>
      <c r="M495" s="199">
        <v>2.38</v>
      </c>
    </row>
    <row r="496" spans="1:13" ht="15" customHeight="1" x14ac:dyDescent="0.25">
      <c r="A496" s="49">
        <v>2006</v>
      </c>
      <c r="B496" s="330" t="s">
        <v>15</v>
      </c>
      <c r="C496" s="331">
        <v>16649108076</v>
      </c>
      <c r="D496" s="331">
        <v>10936546141</v>
      </c>
      <c r="E496" s="331">
        <v>165322481</v>
      </c>
      <c r="F496" s="331">
        <v>96346</v>
      </c>
      <c r="G496" s="370">
        <f t="shared" si="21"/>
        <v>5.7868565427168174E-6</v>
      </c>
      <c r="H496" s="370">
        <f t="shared" si="22"/>
        <v>8.8095454230114428E-6</v>
      </c>
      <c r="I496" s="331">
        <v>180067</v>
      </c>
      <c r="J496" s="331">
        <v>0</v>
      </c>
      <c r="K496" s="331">
        <f t="shared" si="23"/>
        <v>180067</v>
      </c>
      <c r="L496" s="199">
        <v>1.51</v>
      </c>
      <c r="M496" s="199">
        <v>2.38</v>
      </c>
    </row>
    <row r="497" spans="1:13" ht="15" customHeight="1" x14ac:dyDescent="0.25">
      <c r="A497" s="49">
        <v>2007</v>
      </c>
      <c r="B497" s="330" t="s">
        <v>15</v>
      </c>
      <c r="C497" s="331">
        <v>17579270295</v>
      </c>
      <c r="D497" s="331">
        <v>11597898405</v>
      </c>
      <c r="E497" s="331">
        <v>132976337</v>
      </c>
      <c r="F497" s="331">
        <v>117370</v>
      </c>
      <c r="G497" s="370">
        <f t="shared" si="21"/>
        <v>6.6766138770494396E-6</v>
      </c>
      <c r="H497" s="370">
        <f t="shared" si="22"/>
        <v>1.011993689730894E-5</v>
      </c>
      <c r="I497" s="331">
        <v>196048</v>
      </c>
      <c r="J497" s="331">
        <v>0</v>
      </c>
      <c r="K497" s="331">
        <f t="shared" si="23"/>
        <v>196048</v>
      </c>
      <c r="L497" s="199">
        <v>1.1499999999999999</v>
      </c>
      <c r="M497" s="199">
        <v>2.38</v>
      </c>
    </row>
    <row r="498" spans="1:13" ht="15" customHeight="1" x14ac:dyDescent="0.25">
      <c r="A498" s="49">
        <v>2008</v>
      </c>
      <c r="B498" s="330" t="s">
        <v>15</v>
      </c>
      <c r="C498" s="331">
        <v>17270088849</v>
      </c>
      <c r="D498" s="331">
        <v>11794297500</v>
      </c>
      <c r="E498" s="331">
        <v>91203902</v>
      </c>
      <c r="F498" s="331">
        <v>211273</v>
      </c>
      <c r="G498" s="370">
        <f t="shared" si="21"/>
        <v>1.2233463408744042E-5</v>
      </c>
      <c r="H498" s="370">
        <f t="shared" si="22"/>
        <v>1.7913148282040536E-5</v>
      </c>
      <c r="I498" s="331">
        <v>88456</v>
      </c>
      <c r="J498" s="331">
        <v>0</v>
      </c>
      <c r="K498" s="331">
        <f t="shared" si="23"/>
        <v>88456</v>
      </c>
      <c r="L498" s="199">
        <v>0.8</v>
      </c>
      <c r="M498" s="199">
        <v>2.38</v>
      </c>
    </row>
    <row r="499" spans="1:13" ht="15" customHeight="1" x14ac:dyDescent="0.25">
      <c r="A499" s="49">
        <v>2009</v>
      </c>
      <c r="B499" s="330" t="s">
        <v>15</v>
      </c>
      <c r="C499" s="331">
        <v>15974032383</v>
      </c>
      <c r="D499" s="331">
        <v>11020696948</v>
      </c>
      <c r="E499" s="331">
        <v>144643318</v>
      </c>
      <c r="F499" s="331">
        <v>383004</v>
      </c>
      <c r="G499" s="370">
        <f t="shared" si="21"/>
        <v>2.3976663551001894E-5</v>
      </c>
      <c r="H499" s="370">
        <f t="shared" si="22"/>
        <v>3.4753155976175021E-5</v>
      </c>
      <c r="I499" s="331">
        <v>3396</v>
      </c>
      <c r="J499" s="331">
        <v>107055</v>
      </c>
      <c r="K499" s="331">
        <f t="shared" si="23"/>
        <v>-103659</v>
      </c>
      <c r="L499" s="199">
        <v>1.3</v>
      </c>
      <c r="M499" s="199">
        <v>1.73</v>
      </c>
    </row>
    <row r="500" spans="1:13" ht="15" customHeight="1" x14ac:dyDescent="0.25">
      <c r="A500" s="49">
        <v>2010</v>
      </c>
      <c r="B500" s="330" t="s">
        <v>15</v>
      </c>
      <c r="C500" s="331">
        <v>16080084021</v>
      </c>
      <c r="D500" s="331">
        <v>10918372079</v>
      </c>
      <c r="E500" s="331">
        <v>311445838</v>
      </c>
      <c r="F500" s="331">
        <v>265879</v>
      </c>
      <c r="G500" s="370">
        <f t="shared" si="21"/>
        <v>1.6534677284818399E-5</v>
      </c>
      <c r="H500" s="370">
        <f t="shared" si="22"/>
        <v>2.4351524025397705E-5</v>
      </c>
      <c r="I500" s="331">
        <v>105405</v>
      </c>
      <c r="J500" s="331">
        <v>202402</v>
      </c>
      <c r="K500" s="331">
        <f t="shared" si="23"/>
        <v>-96997</v>
      </c>
      <c r="L500" s="199">
        <v>2.9</v>
      </c>
      <c r="M500" s="199">
        <v>1.82</v>
      </c>
    </row>
    <row r="501" spans="1:13" ht="15" customHeight="1" x14ac:dyDescent="0.25">
      <c r="A501" s="49">
        <v>2011</v>
      </c>
      <c r="B501" s="330" t="s">
        <v>15</v>
      </c>
      <c r="C501" s="331">
        <v>16493282176</v>
      </c>
      <c r="D501" s="331">
        <v>11071722548</v>
      </c>
      <c r="E501" s="331">
        <v>319605919</v>
      </c>
      <c r="F501" s="331">
        <v>203618</v>
      </c>
      <c r="G501" s="370">
        <f t="shared" si="21"/>
        <v>1.2345511210394028E-5</v>
      </c>
      <c r="H501" s="370">
        <f t="shared" si="22"/>
        <v>1.839081489960039E-5</v>
      </c>
      <c r="I501" s="331">
        <v>174995</v>
      </c>
      <c r="J501" s="331">
        <v>0</v>
      </c>
      <c r="K501" s="331">
        <f t="shared" si="23"/>
        <v>174995</v>
      </c>
      <c r="L501" s="199">
        <v>2.9</v>
      </c>
      <c r="M501" s="199">
        <v>1.82</v>
      </c>
    </row>
    <row r="502" spans="1:13" ht="15" customHeight="1" x14ac:dyDescent="0.25">
      <c r="A502" s="49">
        <v>2012</v>
      </c>
      <c r="B502" s="330" t="s">
        <v>15</v>
      </c>
      <c r="C502" s="331">
        <v>16900206300</v>
      </c>
      <c r="D502" s="331">
        <v>11411923332</v>
      </c>
      <c r="E502" s="331">
        <v>324635994</v>
      </c>
      <c r="F502" s="331">
        <v>162419</v>
      </c>
      <c r="G502" s="370">
        <f t="shared" si="21"/>
        <v>9.6104743999485978E-6</v>
      </c>
      <c r="H502" s="370">
        <f t="shared" si="22"/>
        <v>1.4232394949987384E-5</v>
      </c>
      <c r="I502" s="331">
        <v>288566</v>
      </c>
      <c r="J502" s="331">
        <v>0</v>
      </c>
      <c r="K502" s="331">
        <f t="shared" si="23"/>
        <v>288566</v>
      </c>
      <c r="L502" s="199">
        <v>2.84</v>
      </c>
      <c r="M502" s="199">
        <v>1.82</v>
      </c>
    </row>
    <row r="503" spans="1:13" ht="15" customHeight="1" x14ac:dyDescent="0.25">
      <c r="A503" s="49">
        <v>2013</v>
      </c>
      <c r="B503" s="330" t="s">
        <v>15</v>
      </c>
      <c r="C503" s="331">
        <v>17783922349</v>
      </c>
      <c r="D503" s="331">
        <v>11984801945</v>
      </c>
      <c r="E503" s="331">
        <v>283090146</v>
      </c>
      <c r="F503" s="331">
        <v>130891</v>
      </c>
      <c r="G503" s="370">
        <f t="shared" si="21"/>
        <v>7.3600748716359566E-6</v>
      </c>
      <c r="H503" s="370">
        <f t="shared" si="22"/>
        <v>1.0921415355938116E-5</v>
      </c>
      <c r="I503" s="331">
        <v>403389</v>
      </c>
      <c r="J503" s="331">
        <v>0</v>
      </c>
      <c r="K503" s="331">
        <f t="shared" si="23"/>
        <v>403389</v>
      </c>
      <c r="L503" s="199">
        <v>2.36</v>
      </c>
      <c r="M503" s="199">
        <v>1.82</v>
      </c>
    </row>
    <row r="504" spans="1:13" ht="15" customHeight="1" x14ac:dyDescent="0.25">
      <c r="A504" s="49">
        <v>2014</v>
      </c>
      <c r="B504" s="330" t="s">
        <v>15</v>
      </c>
      <c r="C504" s="331">
        <v>18889209630</v>
      </c>
      <c r="D504" s="331">
        <v>12557762111</v>
      </c>
      <c r="E504" s="331">
        <v>199286809</v>
      </c>
      <c r="F504" s="331">
        <v>110405</v>
      </c>
      <c r="G504" s="370">
        <f t="shared" si="21"/>
        <v>5.8448713399132303E-6</v>
      </c>
      <c r="H504" s="370">
        <f t="shared" si="22"/>
        <v>8.7917734883105085E-6</v>
      </c>
      <c r="I504" s="331">
        <v>482940</v>
      </c>
      <c r="J504" s="331">
        <v>0</v>
      </c>
      <c r="K504" s="331">
        <f t="shared" si="23"/>
        <v>482940</v>
      </c>
      <c r="L504" s="333">
        <v>1.5869611738020921</v>
      </c>
      <c r="M504" s="199">
        <v>1.82</v>
      </c>
    </row>
    <row r="505" spans="1:13" ht="15" customHeight="1" x14ac:dyDescent="0.25">
      <c r="A505" s="49">
        <v>2015</v>
      </c>
      <c r="B505" s="330" t="s">
        <v>15</v>
      </c>
      <c r="C505" s="334">
        <v>19815961000</v>
      </c>
      <c r="D505" s="334">
        <v>13371786000</v>
      </c>
      <c r="E505" s="334">
        <v>143462000</v>
      </c>
      <c r="F505" s="331">
        <v>95348</v>
      </c>
      <c r="G505" s="370">
        <f t="shared" si="21"/>
        <v>4.8116768094164091E-6</v>
      </c>
      <c r="H505" s="370">
        <f t="shared" si="22"/>
        <v>7.1305358910171012E-6</v>
      </c>
      <c r="I505" s="331">
        <v>458989</v>
      </c>
      <c r="J505" s="199">
        <v>0</v>
      </c>
      <c r="K505" s="331">
        <f t="shared" si="23"/>
        <v>458989</v>
      </c>
      <c r="L505" s="199">
        <v>1.3</v>
      </c>
      <c r="M505" s="199">
        <v>1.82</v>
      </c>
    </row>
    <row r="506" spans="1:13" ht="15" customHeight="1" x14ac:dyDescent="0.25">
      <c r="A506" s="49">
        <v>1980</v>
      </c>
      <c r="B506" s="330" t="s">
        <v>16</v>
      </c>
      <c r="C506" s="331">
        <v>61004010326</v>
      </c>
      <c r="D506" s="331">
        <v>24913006040</v>
      </c>
      <c r="E506" s="331">
        <v>835832243</v>
      </c>
      <c r="F506" s="331">
        <v>1205902</v>
      </c>
      <c r="G506" s="370">
        <f t="shared" si="21"/>
        <v>1.9767585664545119E-5</v>
      </c>
      <c r="H506" s="370">
        <f t="shared" si="22"/>
        <v>4.8404516021222787E-5</v>
      </c>
      <c r="I506" s="331">
        <v>66267</v>
      </c>
      <c r="J506" s="331">
        <v>984000</v>
      </c>
      <c r="K506" s="331">
        <f t="shared" si="23"/>
        <v>-917733</v>
      </c>
      <c r="L506" s="199">
        <v>3.36</v>
      </c>
      <c r="M506" s="199">
        <v>1.99</v>
      </c>
    </row>
    <row r="507" spans="1:13" ht="15" customHeight="1" x14ac:dyDescent="0.25">
      <c r="A507" s="49">
        <v>1981</v>
      </c>
      <c r="B507" s="330" t="s">
        <v>16</v>
      </c>
      <c r="C507" s="331">
        <v>64178895277</v>
      </c>
      <c r="D507" s="331">
        <v>24796048273</v>
      </c>
      <c r="E507" s="331">
        <v>792553414</v>
      </c>
      <c r="F507" s="331">
        <v>1199868</v>
      </c>
      <c r="G507" s="370">
        <f t="shared" si="21"/>
        <v>1.869567861555262E-5</v>
      </c>
      <c r="H507" s="370">
        <f t="shared" si="22"/>
        <v>4.8389484759412896E-5</v>
      </c>
      <c r="I507" s="331">
        <v>24526</v>
      </c>
      <c r="J507" s="331">
        <v>1405433</v>
      </c>
      <c r="K507" s="331">
        <f t="shared" si="23"/>
        <v>-1380907</v>
      </c>
      <c r="L507" s="199">
        <v>3.2</v>
      </c>
      <c r="M507" s="199">
        <v>2.0499999999999998</v>
      </c>
    </row>
    <row r="508" spans="1:13" ht="15" customHeight="1" x14ac:dyDescent="0.25">
      <c r="A508" s="49">
        <v>1982</v>
      </c>
      <c r="B508" s="330" t="s">
        <v>16</v>
      </c>
      <c r="C508" s="331">
        <v>65308964044</v>
      </c>
      <c r="D508" s="331">
        <v>25229450377</v>
      </c>
      <c r="E508" s="331">
        <v>957150032</v>
      </c>
      <c r="F508" s="331">
        <v>1576263</v>
      </c>
      <c r="G508" s="370">
        <f t="shared" si="21"/>
        <v>2.4135477006464826E-5</v>
      </c>
      <c r="H508" s="370">
        <f t="shared" si="22"/>
        <v>6.2477104195538609E-5</v>
      </c>
      <c r="I508" s="331">
        <v>0</v>
      </c>
      <c r="J508" s="331">
        <v>2069018</v>
      </c>
      <c r="K508" s="331">
        <f t="shared" si="23"/>
        <v>-2069018</v>
      </c>
      <c r="L508" s="199">
        <v>3.79</v>
      </c>
      <c r="M508" s="199">
        <v>2.2799999999999998</v>
      </c>
    </row>
    <row r="509" spans="1:13" ht="15" customHeight="1" x14ac:dyDescent="0.25">
      <c r="A509" s="49">
        <v>1983</v>
      </c>
      <c r="B509" s="330" t="s">
        <v>16</v>
      </c>
      <c r="C509" s="331">
        <v>67078911718</v>
      </c>
      <c r="D509" s="331">
        <v>27518265771</v>
      </c>
      <c r="E509" s="331">
        <v>1065726460</v>
      </c>
      <c r="F509" s="331">
        <v>1361443</v>
      </c>
      <c r="G509" s="370">
        <f t="shared" si="21"/>
        <v>2.0296140249315786E-5</v>
      </c>
      <c r="H509" s="370">
        <f t="shared" si="22"/>
        <v>4.9474156959220538E-5</v>
      </c>
      <c r="I509" s="331">
        <v>0</v>
      </c>
      <c r="J509" s="331">
        <v>2418204</v>
      </c>
      <c r="K509" s="331">
        <f t="shared" si="23"/>
        <v>-2418204</v>
      </c>
      <c r="L509" s="199">
        <v>3.87</v>
      </c>
      <c r="M509" s="199">
        <v>2.33</v>
      </c>
    </row>
    <row r="510" spans="1:13" ht="15" customHeight="1" x14ac:dyDescent="0.25">
      <c r="A510" s="49">
        <v>1984</v>
      </c>
      <c r="B510" s="330" t="s">
        <v>16</v>
      </c>
      <c r="C510" s="331">
        <v>73941729838</v>
      </c>
      <c r="D510" s="331">
        <v>29278766084</v>
      </c>
      <c r="E510" s="331">
        <v>1340137848</v>
      </c>
      <c r="F510" s="331">
        <v>779586</v>
      </c>
      <c r="G510" s="370">
        <f t="shared" si="21"/>
        <v>1.0543248064496276E-5</v>
      </c>
      <c r="H510" s="370">
        <f t="shared" si="22"/>
        <v>2.6626327003104864E-5</v>
      </c>
      <c r="I510" s="331">
        <v>0</v>
      </c>
      <c r="J510" s="331">
        <v>1707232</v>
      </c>
      <c r="K510" s="331">
        <f t="shared" si="23"/>
        <v>-1707232</v>
      </c>
      <c r="L510" s="199">
        <v>4.58</v>
      </c>
      <c r="M510" s="199">
        <v>2.33</v>
      </c>
    </row>
    <row r="511" spans="1:13" ht="15" customHeight="1" x14ac:dyDescent="0.25">
      <c r="A511" s="49">
        <v>1985</v>
      </c>
      <c r="B511" s="330" t="s">
        <v>16</v>
      </c>
      <c r="C511" s="331">
        <v>78207493899</v>
      </c>
      <c r="D511" s="331">
        <v>31225856512</v>
      </c>
      <c r="E511" s="331">
        <v>1311327896</v>
      </c>
      <c r="F511" s="331">
        <v>879027</v>
      </c>
      <c r="G511" s="370">
        <f t="shared" si="21"/>
        <v>1.1239677378426259E-5</v>
      </c>
      <c r="H511" s="370">
        <f t="shared" si="22"/>
        <v>2.8150612927533072E-5</v>
      </c>
      <c r="I511" s="331">
        <v>45295</v>
      </c>
      <c r="J511" s="331">
        <v>1124267</v>
      </c>
      <c r="K511" s="331">
        <f t="shared" si="23"/>
        <v>-1078972</v>
      </c>
      <c r="L511" s="199">
        <v>4.2</v>
      </c>
      <c r="M511" s="199">
        <v>2.33</v>
      </c>
    </row>
    <row r="512" spans="1:13" ht="15" customHeight="1" x14ac:dyDescent="0.25">
      <c r="A512" s="49">
        <v>1986</v>
      </c>
      <c r="B512" s="330" t="s">
        <v>16</v>
      </c>
      <c r="C512" s="331">
        <v>84938100837</v>
      </c>
      <c r="D512" s="331">
        <v>32075177784</v>
      </c>
      <c r="E512" s="331">
        <v>1280385190</v>
      </c>
      <c r="F512" s="331">
        <v>857457</v>
      </c>
      <c r="G512" s="370">
        <f t="shared" si="21"/>
        <v>1.0095080906570989E-5</v>
      </c>
      <c r="H512" s="370">
        <f t="shared" si="22"/>
        <v>2.6732727898634553E-5</v>
      </c>
      <c r="I512" s="331">
        <v>473810</v>
      </c>
      <c r="J512" s="331">
        <v>888670</v>
      </c>
      <c r="K512" s="331">
        <f t="shared" si="23"/>
        <v>-414860</v>
      </c>
      <c r="L512" s="199">
        <v>3.99</v>
      </c>
      <c r="M512" s="199">
        <v>2.33</v>
      </c>
    </row>
    <row r="513" spans="1:13" ht="15" customHeight="1" x14ac:dyDescent="0.25">
      <c r="A513" s="49">
        <v>1987</v>
      </c>
      <c r="B513" s="330" t="s">
        <v>16</v>
      </c>
      <c r="C513" s="331">
        <v>88568374795</v>
      </c>
      <c r="D513" s="331">
        <v>33192930746</v>
      </c>
      <c r="E513" s="331">
        <v>1194436660</v>
      </c>
      <c r="F513" s="331">
        <v>784660</v>
      </c>
      <c r="G513" s="370">
        <f t="shared" si="21"/>
        <v>8.8593699705585746E-6</v>
      </c>
      <c r="H513" s="370">
        <f t="shared" si="22"/>
        <v>2.3639370864971225E-5</v>
      </c>
      <c r="I513" s="331">
        <v>313649</v>
      </c>
      <c r="J513" s="331">
        <v>0</v>
      </c>
      <c r="K513" s="331">
        <f t="shared" si="23"/>
        <v>313649</v>
      </c>
      <c r="L513" s="199">
        <v>3.6</v>
      </c>
      <c r="M513" s="199">
        <v>2.33</v>
      </c>
    </row>
    <row r="514" spans="1:13" ht="15" customHeight="1" x14ac:dyDescent="0.25">
      <c r="A514" s="49">
        <v>1988</v>
      </c>
      <c r="B514" s="330" t="s">
        <v>16</v>
      </c>
      <c r="C514" s="331">
        <v>97009569826</v>
      </c>
      <c r="D514" s="331">
        <v>35872472026</v>
      </c>
      <c r="E514" s="331">
        <v>1172621296</v>
      </c>
      <c r="F514" s="331">
        <v>690515</v>
      </c>
      <c r="G514" s="370">
        <f t="shared" ref="G514:G577" si="24">F514/C514</f>
        <v>7.1180090916652202E-6</v>
      </c>
      <c r="H514" s="370">
        <f t="shared" ref="H514:H577" si="25">F514/D514</f>
        <v>1.9249161292801951E-5</v>
      </c>
      <c r="I514" s="331">
        <v>823625</v>
      </c>
      <c r="J514" s="331">
        <v>0</v>
      </c>
      <c r="K514" s="331">
        <f t="shared" ref="K514:K577" si="26">I514-J514</f>
        <v>823625</v>
      </c>
      <c r="L514" s="199">
        <v>3.27</v>
      </c>
      <c r="M514" s="199">
        <v>2.33</v>
      </c>
    </row>
    <row r="515" spans="1:13" ht="15" customHeight="1" x14ac:dyDescent="0.25">
      <c r="A515" s="49">
        <v>1989</v>
      </c>
      <c r="B515" s="330" t="s">
        <v>16</v>
      </c>
      <c r="C515" s="331">
        <v>101618112521</v>
      </c>
      <c r="D515" s="331">
        <v>36970257711</v>
      </c>
      <c r="E515" s="331">
        <v>1091471016</v>
      </c>
      <c r="F515" s="331">
        <v>738737</v>
      </c>
      <c r="G515" s="370">
        <f t="shared" si="24"/>
        <v>7.2697374677898638E-6</v>
      </c>
      <c r="H515" s="370">
        <f t="shared" si="25"/>
        <v>1.99819272501365E-5</v>
      </c>
      <c r="I515" s="331">
        <v>1268153</v>
      </c>
      <c r="J515" s="331">
        <v>0</v>
      </c>
      <c r="K515" s="331">
        <f t="shared" si="26"/>
        <v>1268153</v>
      </c>
      <c r="L515" s="199">
        <v>2.95</v>
      </c>
      <c r="M515" s="199">
        <v>2.33</v>
      </c>
    </row>
    <row r="516" spans="1:13" ht="15" customHeight="1" x14ac:dyDescent="0.25">
      <c r="A516" s="49">
        <v>1990</v>
      </c>
      <c r="B516" s="330" t="s">
        <v>16</v>
      </c>
      <c r="C516" s="331">
        <v>107238935394</v>
      </c>
      <c r="D516" s="331">
        <v>37811688322</v>
      </c>
      <c r="E516" s="331">
        <v>946871494</v>
      </c>
      <c r="F516" s="331">
        <v>908189</v>
      </c>
      <c r="G516" s="370">
        <f t="shared" si="24"/>
        <v>8.4688364040847512E-6</v>
      </c>
      <c r="H516" s="370">
        <f t="shared" si="25"/>
        <v>2.401873707055783E-5</v>
      </c>
      <c r="I516" s="331">
        <v>1459282</v>
      </c>
      <c r="J516" s="331">
        <v>0</v>
      </c>
      <c r="K516" s="331">
        <f t="shared" si="26"/>
        <v>1459282</v>
      </c>
      <c r="L516" s="199">
        <v>2.5</v>
      </c>
      <c r="M516" s="199">
        <v>2.33</v>
      </c>
    </row>
    <row r="517" spans="1:13" ht="15" customHeight="1" x14ac:dyDescent="0.25">
      <c r="A517" s="49">
        <v>1991</v>
      </c>
      <c r="B517" s="330" t="s">
        <v>16</v>
      </c>
      <c r="C517" s="331">
        <v>108893887211</v>
      </c>
      <c r="D517" s="331">
        <v>37709838409</v>
      </c>
      <c r="E517" s="331">
        <v>864118560</v>
      </c>
      <c r="F517" s="331">
        <v>1272517</v>
      </c>
      <c r="G517" s="370">
        <f t="shared" si="24"/>
        <v>1.1685844197427601E-5</v>
      </c>
      <c r="H517" s="370">
        <f t="shared" si="25"/>
        <v>3.3744960299174748E-5</v>
      </c>
      <c r="I517" s="331">
        <v>1172283</v>
      </c>
      <c r="J517" s="331">
        <v>0</v>
      </c>
      <c r="K517" s="331">
        <f t="shared" si="26"/>
        <v>1172283</v>
      </c>
      <c r="L517" s="199">
        <v>2.29</v>
      </c>
      <c r="M517" s="199">
        <v>2.33</v>
      </c>
    </row>
    <row r="518" spans="1:13" ht="15" customHeight="1" x14ac:dyDescent="0.25">
      <c r="A518" s="49">
        <v>1992</v>
      </c>
      <c r="B518" s="330" t="s">
        <v>16</v>
      </c>
      <c r="C518" s="331">
        <v>115160435059</v>
      </c>
      <c r="D518" s="331">
        <v>37774593444</v>
      </c>
      <c r="E518" s="331">
        <v>928224156</v>
      </c>
      <c r="F518" s="331">
        <v>1277517</v>
      </c>
      <c r="G518" s="370">
        <f t="shared" si="24"/>
        <v>1.1093367260600321E-5</v>
      </c>
      <c r="H518" s="370">
        <f t="shared" si="25"/>
        <v>3.3819477154503086E-5</v>
      </c>
      <c r="I518" s="331">
        <v>847622</v>
      </c>
      <c r="J518" s="331">
        <v>0</v>
      </c>
      <c r="K518" s="331">
        <f t="shared" si="26"/>
        <v>847622</v>
      </c>
      <c r="L518" s="199">
        <v>2.46</v>
      </c>
      <c r="M518" s="199">
        <v>2.33</v>
      </c>
    </row>
    <row r="519" spans="1:13" ht="15" customHeight="1" x14ac:dyDescent="0.25">
      <c r="A519" s="49">
        <v>1993</v>
      </c>
      <c r="B519" s="330" t="s">
        <v>16</v>
      </c>
      <c r="C519" s="331">
        <v>119283670471</v>
      </c>
      <c r="D519" s="331">
        <v>38569650730</v>
      </c>
      <c r="E519" s="331">
        <v>1163246728</v>
      </c>
      <c r="F519" s="331">
        <v>1185772</v>
      </c>
      <c r="G519" s="370">
        <f t="shared" si="24"/>
        <v>9.940773915808388E-6</v>
      </c>
      <c r="H519" s="370">
        <f t="shared" si="25"/>
        <v>3.0743654079234128E-5</v>
      </c>
      <c r="I519" s="331">
        <v>851918</v>
      </c>
      <c r="J519" s="331">
        <v>0</v>
      </c>
      <c r="K519" s="331">
        <f t="shared" si="26"/>
        <v>851918</v>
      </c>
      <c r="L519" s="199">
        <v>3.02</v>
      </c>
      <c r="M519" s="199">
        <v>2.33</v>
      </c>
    </row>
    <row r="520" spans="1:13" ht="15" customHeight="1" x14ac:dyDescent="0.25">
      <c r="A520" s="49">
        <v>1994</v>
      </c>
      <c r="B520" s="330" t="s">
        <v>16</v>
      </c>
      <c r="C520" s="331">
        <v>125651069034</v>
      </c>
      <c r="D520" s="331">
        <v>40406114563</v>
      </c>
      <c r="E520" s="331">
        <v>1387357560</v>
      </c>
      <c r="F520" s="331">
        <v>1043863</v>
      </c>
      <c r="G520" s="370">
        <f t="shared" si="24"/>
        <v>8.30763325791952E-6</v>
      </c>
      <c r="H520" s="370">
        <f t="shared" si="25"/>
        <v>2.5834283035861818E-5</v>
      </c>
      <c r="I520" s="331">
        <v>1247066</v>
      </c>
      <c r="J520" s="331">
        <v>0</v>
      </c>
      <c r="K520" s="331">
        <f t="shared" si="26"/>
        <v>1247066</v>
      </c>
      <c r="L520" s="199">
        <v>3.43</v>
      </c>
      <c r="M520" s="199">
        <v>2.33</v>
      </c>
    </row>
    <row r="521" spans="1:13" ht="15" customHeight="1" x14ac:dyDescent="0.25">
      <c r="A521" s="49">
        <v>1995</v>
      </c>
      <c r="B521" s="330" t="s">
        <v>16</v>
      </c>
      <c r="C521" s="331">
        <v>133772208666</v>
      </c>
      <c r="D521" s="331">
        <v>41592017213</v>
      </c>
      <c r="E521" s="331">
        <v>1357209286</v>
      </c>
      <c r="F521" s="331">
        <v>1075674</v>
      </c>
      <c r="G521" s="370">
        <f t="shared" si="24"/>
        <v>8.0410872387232777E-6</v>
      </c>
      <c r="H521" s="370">
        <f t="shared" si="25"/>
        <v>2.5862510935482766E-5</v>
      </c>
      <c r="I521" s="331">
        <v>1629210</v>
      </c>
      <c r="J521" s="331">
        <v>0</v>
      </c>
      <c r="K521" s="331">
        <f t="shared" si="26"/>
        <v>1629210</v>
      </c>
      <c r="L521" s="199">
        <v>3.26</v>
      </c>
      <c r="M521" s="199">
        <v>2.33</v>
      </c>
    </row>
    <row r="522" spans="1:13" ht="15" customHeight="1" x14ac:dyDescent="0.25">
      <c r="A522" s="49">
        <v>1996</v>
      </c>
      <c r="B522" s="330" t="s">
        <v>16</v>
      </c>
      <c r="C522" s="331">
        <v>141414356246</v>
      </c>
      <c r="D522" s="331">
        <v>42824323316</v>
      </c>
      <c r="E522" s="331">
        <v>1097671835</v>
      </c>
      <c r="F522" s="331">
        <v>1220522</v>
      </c>
      <c r="G522" s="370">
        <f t="shared" si="24"/>
        <v>8.630821031188786E-6</v>
      </c>
      <c r="H522" s="370">
        <f t="shared" si="25"/>
        <v>2.8500672176272059E-5</v>
      </c>
      <c r="I522" s="331">
        <v>1638560</v>
      </c>
      <c r="J522" s="331">
        <v>0</v>
      </c>
      <c r="K522" s="331">
        <f t="shared" si="26"/>
        <v>1638560</v>
      </c>
      <c r="L522" s="199">
        <v>2.56</v>
      </c>
      <c r="M522" s="199">
        <v>2.33</v>
      </c>
    </row>
    <row r="523" spans="1:13" ht="15" customHeight="1" x14ac:dyDescent="0.25">
      <c r="A523" s="49">
        <v>1997</v>
      </c>
      <c r="B523" s="330" t="s">
        <v>16</v>
      </c>
      <c r="C523" s="331">
        <v>152704850639</v>
      </c>
      <c r="D523" s="331">
        <v>44545225376</v>
      </c>
      <c r="E523" s="331">
        <v>1110683502</v>
      </c>
      <c r="F523" s="331">
        <v>1109826</v>
      </c>
      <c r="G523" s="370">
        <f t="shared" si="24"/>
        <v>7.2677848500285713E-6</v>
      </c>
      <c r="H523" s="370">
        <f t="shared" si="25"/>
        <v>2.4914589400594888E-5</v>
      </c>
      <c r="I523" s="331">
        <v>1742968</v>
      </c>
      <c r="J523" s="331">
        <v>0</v>
      </c>
      <c r="K523" s="331">
        <f t="shared" si="26"/>
        <v>1742968</v>
      </c>
      <c r="L523" s="199">
        <v>2.4900000000000002</v>
      </c>
      <c r="M523" s="199">
        <v>2.33</v>
      </c>
    </row>
    <row r="524" spans="1:13" ht="15" customHeight="1" x14ac:dyDescent="0.25">
      <c r="A524" s="49">
        <v>1998</v>
      </c>
      <c r="B524" s="330" t="s">
        <v>16</v>
      </c>
      <c r="C524" s="331">
        <v>164742529351</v>
      </c>
      <c r="D524" s="331">
        <v>45841028414</v>
      </c>
      <c r="E524" s="331">
        <v>1118420329</v>
      </c>
      <c r="F524" s="331">
        <v>1042860</v>
      </c>
      <c r="G524" s="370">
        <f t="shared" si="24"/>
        <v>6.3302415235964068E-6</v>
      </c>
      <c r="H524" s="370">
        <f t="shared" si="25"/>
        <v>2.2749489618376606E-5</v>
      </c>
      <c r="I524" s="331">
        <v>1928620</v>
      </c>
      <c r="J524" s="331">
        <v>0</v>
      </c>
      <c r="K524" s="331">
        <f t="shared" si="26"/>
        <v>1928620</v>
      </c>
      <c r="L524" s="199">
        <v>2.44</v>
      </c>
      <c r="M524" s="199">
        <v>2.33</v>
      </c>
    </row>
    <row r="525" spans="1:13" ht="15" customHeight="1" x14ac:dyDescent="0.25">
      <c r="A525" s="49">
        <v>1999</v>
      </c>
      <c r="B525" s="330" t="s">
        <v>16</v>
      </c>
      <c r="C525" s="331">
        <v>174382426896</v>
      </c>
      <c r="D525" s="331">
        <v>47065936127</v>
      </c>
      <c r="E525" s="331">
        <v>1108564615</v>
      </c>
      <c r="F525" s="331">
        <v>1121797</v>
      </c>
      <c r="G525" s="370">
        <f t="shared" si="24"/>
        <v>6.4329704544657409E-6</v>
      </c>
      <c r="H525" s="370">
        <f t="shared" si="25"/>
        <v>2.3834583826676852E-5</v>
      </c>
      <c r="I525" s="331">
        <v>2041984</v>
      </c>
      <c r="J525" s="331">
        <v>0</v>
      </c>
      <c r="K525" s="331">
        <f t="shared" si="26"/>
        <v>2041984</v>
      </c>
      <c r="L525" s="199">
        <v>2.36</v>
      </c>
      <c r="M525" s="199">
        <v>2.33</v>
      </c>
    </row>
    <row r="526" spans="1:13" x14ac:dyDescent="0.25">
      <c r="A526" s="49">
        <v>2000</v>
      </c>
      <c r="B526" s="330" t="s">
        <v>16</v>
      </c>
      <c r="C526" s="331">
        <v>185873789153</v>
      </c>
      <c r="D526" s="331">
        <v>48468684373</v>
      </c>
      <c r="E526" s="331">
        <v>1060526861</v>
      </c>
      <c r="F526" s="331">
        <v>1155272</v>
      </c>
      <c r="G526" s="370">
        <f t="shared" si="24"/>
        <v>6.2153572338757796E-6</v>
      </c>
      <c r="H526" s="370">
        <f t="shared" si="25"/>
        <v>2.3835431370684298E-5</v>
      </c>
      <c r="I526" s="331">
        <v>2091829</v>
      </c>
      <c r="J526" s="331">
        <v>0</v>
      </c>
      <c r="K526" s="331">
        <f t="shared" si="26"/>
        <v>2091829</v>
      </c>
      <c r="L526" s="199">
        <v>2.19</v>
      </c>
      <c r="M526" s="199">
        <v>2.33</v>
      </c>
    </row>
    <row r="527" spans="1:13" ht="15" customHeight="1" x14ac:dyDescent="0.25">
      <c r="A527" s="49">
        <v>2001</v>
      </c>
      <c r="B527" s="330" t="s">
        <v>16</v>
      </c>
      <c r="C527" s="331">
        <v>187717136193</v>
      </c>
      <c r="D527" s="331">
        <v>47464893055</v>
      </c>
      <c r="E527" s="331">
        <v>974474717</v>
      </c>
      <c r="F527" s="331">
        <v>1841964</v>
      </c>
      <c r="G527" s="370">
        <f t="shared" si="24"/>
        <v>9.8124446033855867E-6</v>
      </c>
      <c r="H527" s="370">
        <f t="shared" si="25"/>
        <v>3.880687138314253E-5</v>
      </c>
      <c r="I527" s="331">
        <v>1382445</v>
      </c>
      <c r="J527" s="331">
        <v>0</v>
      </c>
      <c r="K527" s="331">
        <f t="shared" si="26"/>
        <v>1382445</v>
      </c>
      <c r="L527" s="199">
        <v>2.0499999999999998</v>
      </c>
      <c r="M527" s="199">
        <v>2.31</v>
      </c>
    </row>
    <row r="528" spans="1:13" ht="15" customHeight="1" x14ac:dyDescent="0.25">
      <c r="A528" s="49">
        <v>2002</v>
      </c>
      <c r="B528" s="330" t="s">
        <v>16</v>
      </c>
      <c r="C528" s="331">
        <v>184532726239</v>
      </c>
      <c r="D528" s="331">
        <v>45952088507</v>
      </c>
      <c r="E528" s="331">
        <v>1044220157</v>
      </c>
      <c r="F528" s="331">
        <v>2347328</v>
      </c>
      <c r="G528" s="370">
        <f t="shared" si="24"/>
        <v>1.2720388669486339E-5</v>
      </c>
      <c r="H528" s="370">
        <f t="shared" si="25"/>
        <v>5.1082074314041801E-5</v>
      </c>
      <c r="I528" s="331">
        <v>447894</v>
      </c>
      <c r="J528" s="331">
        <v>0</v>
      </c>
      <c r="K528" s="331">
        <f t="shared" si="26"/>
        <v>447894</v>
      </c>
      <c r="L528" s="199">
        <v>2.27</v>
      </c>
      <c r="M528" s="199">
        <v>2.31</v>
      </c>
    </row>
    <row r="529" spans="1:13" ht="15" customHeight="1" x14ac:dyDescent="0.25">
      <c r="A529" s="49">
        <v>2003</v>
      </c>
      <c r="B529" s="330" t="s">
        <v>16</v>
      </c>
      <c r="C529" s="331">
        <v>185553064845</v>
      </c>
      <c r="D529" s="331">
        <v>45167505580</v>
      </c>
      <c r="E529" s="331">
        <v>1333158159</v>
      </c>
      <c r="F529" s="331">
        <v>2340076</v>
      </c>
      <c r="G529" s="370">
        <f t="shared" si="24"/>
        <v>1.2611357306087939E-5</v>
      </c>
      <c r="H529" s="370">
        <f t="shared" si="25"/>
        <v>5.1808838454788986E-5</v>
      </c>
      <c r="I529" s="331">
        <v>4959</v>
      </c>
      <c r="J529" s="331">
        <v>511267</v>
      </c>
      <c r="K529" s="331">
        <f t="shared" si="26"/>
        <v>-506308</v>
      </c>
      <c r="L529" s="199">
        <v>2.95</v>
      </c>
      <c r="M529" s="199">
        <v>2.31</v>
      </c>
    </row>
    <row r="530" spans="1:13" ht="15" customHeight="1" x14ac:dyDescent="0.25">
      <c r="A530" s="49">
        <v>2004</v>
      </c>
      <c r="B530" s="330" t="s">
        <v>16</v>
      </c>
      <c r="C530" s="331">
        <v>193718423495</v>
      </c>
      <c r="D530" s="331">
        <v>48556998277</v>
      </c>
      <c r="E530" s="331">
        <v>2004545331</v>
      </c>
      <c r="F530" s="331">
        <v>1954285</v>
      </c>
      <c r="G530" s="370">
        <f t="shared" si="24"/>
        <v>1.0088276400052581E-5</v>
      </c>
      <c r="H530" s="370">
        <f t="shared" si="25"/>
        <v>4.0247236636241712E-5</v>
      </c>
      <c r="I530" s="331">
        <v>150742</v>
      </c>
      <c r="J530" s="331">
        <v>0</v>
      </c>
      <c r="K530" s="331">
        <f t="shared" si="26"/>
        <v>150742</v>
      </c>
      <c r="L530" s="199">
        <v>4.13</v>
      </c>
      <c r="M530" s="199">
        <v>2.31</v>
      </c>
    </row>
    <row r="531" spans="1:13" ht="15" customHeight="1" x14ac:dyDescent="0.25">
      <c r="A531" s="49">
        <v>2005</v>
      </c>
      <c r="B531" s="330" t="s">
        <v>16</v>
      </c>
      <c r="C531" s="331">
        <v>202542170715</v>
      </c>
      <c r="D531" s="331">
        <v>52177844431</v>
      </c>
      <c r="E531" s="331">
        <v>2658223836</v>
      </c>
      <c r="F531" s="331">
        <v>1702912</v>
      </c>
      <c r="G531" s="370">
        <f t="shared" si="24"/>
        <v>8.4076910699065824E-6</v>
      </c>
      <c r="H531" s="370">
        <f t="shared" si="25"/>
        <v>3.2636687440239726E-5</v>
      </c>
      <c r="I531" s="331">
        <v>488390</v>
      </c>
      <c r="J531" s="331">
        <v>0</v>
      </c>
      <c r="K531" s="331">
        <f t="shared" si="26"/>
        <v>488390</v>
      </c>
      <c r="L531" s="199">
        <v>5.09</v>
      </c>
      <c r="M531" s="199">
        <v>2.31</v>
      </c>
    </row>
    <row r="532" spans="1:13" ht="15" customHeight="1" x14ac:dyDescent="0.25">
      <c r="A532" s="49">
        <v>2006</v>
      </c>
      <c r="B532" s="330" t="s">
        <v>16</v>
      </c>
      <c r="C532" s="331">
        <v>214716649760</v>
      </c>
      <c r="D532" s="331">
        <v>55337905442</v>
      </c>
      <c r="E532" s="331">
        <v>2454678739</v>
      </c>
      <c r="F532" s="331">
        <v>1563754</v>
      </c>
      <c r="G532" s="370">
        <f t="shared" si="24"/>
        <v>7.2828725753121125E-6</v>
      </c>
      <c r="H532" s="370">
        <f t="shared" si="25"/>
        <v>2.8258279519433207E-5</v>
      </c>
      <c r="I532" s="331">
        <v>1280863</v>
      </c>
      <c r="J532" s="331">
        <v>0</v>
      </c>
      <c r="K532" s="331">
        <f t="shared" si="26"/>
        <v>1280863</v>
      </c>
      <c r="L532" s="199">
        <v>4.4400000000000004</v>
      </c>
      <c r="M532" s="199">
        <v>2.31</v>
      </c>
    </row>
    <row r="533" spans="1:13" ht="15" customHeight="1" x14ac:dyDescent="0.25">
      <c r="A533" s="49">
        <v>2007</v>
      </c>
      <c r="B533" s="330" t="s">
        <v>16</v>
      </c>
      <c r="C533" s="331">
        <v>226422929871</v>
      </c>
      <c r="D533" s="331">
        <v>58079429090</v>
      </c>
      <c r="E533" s="331">
        <v>2173590352</v>
      </c>
      <c r="F533" s="331">
        <v>1758189</v>
      </c>
      <c r="G533" s="370">
        <f t="shared" si="24"/>
        <v>7.7650660249016894E-6</v>
      </c>
      <c r="H533" s="370">
        <f t="shared" si="25"/>
        <v>3.0272146740208256E-5</v>
      </c>
      <c r="I533" s="331">
        <v>1801983</v>
      </c>
      <c r="J533" s="331">
        <v>0</v>
      </c>
      <c r="K533" s="331">
        <f t="shared" si="26"/>
        <v>1801983</v>
      </c>
      <c r="L533" s="199">
        <v>3.74</v>
      </c>
      <c r="M533" s="199">
        <v>2.31</v>
      </c>
    </row>
    <row r="534" spans="1:13" ht="15" customHeight="1" x14ac:dyDescent="0.25">
      <c r="A534" s="49">
        <v>2008</v>
      </c>
      <c r="B534" s="330" t="s">
        <v>16</v>
      </c>
      <c r="C534" s="331">
        <v>228631272164</v>
      </c>
      <c r="D534" s="331">
        <v>59478546839</v>
      </c>
      <c r="E534" s="331">
        <v>1755847145</v>
      </c>
      <c r="F534" s="331">
        <v>2209468</v>
      </c>
      <c r="G534" s="370">
        <f t="shared" si="24"/>
        <v>9.6638923410928738E-6</v>
      </c>
      <c r="H534" s="370">
        <f t="shared" si="25"/>
        <v>3.7147309701104783E-5</v>
      </c>
      <c r="I534" s="331">
        <v>1456078</v>
      </c>
      <c r="J534" s="331">
        <v>0</v>
      </c>
      <c r="K534" s="331">
        <f t="shared" si="26"/>
        <v>1456078</v>
      </c>
      <c r="L534" s="199">
        <v>3</v>
      </c>
      <c r="M534" s="199">
        <v>2.31</v>
      </c>
    </row>
    <row r="535" spans="1:13" ht="15" customHeight="1" x14ac:dyDescent="0.25">
      <c r="A535" s="49">
        <v>2009</v>
      </c>
      <c r="B535" s="330" t="s">
        <v>16</v>
      </c>
      <c r="C535" s="331">
        <v>210603737919</v>
      </c>
      <c r="D535" s="331">
        <v>56115616848</v>
      </c>
      <c r="E535" s="331">
        <v>1368052991</v>
      </c>
      <c r="F535" s="331">
        <v>4286691</v>
      </c>
      <c r="G535" s="370">
        <f t="shared" si="24"/>
        <v>2.0354296853214914E-5</v>
      </c>
      <c r="H535" s="370">
        <f t="shared" si="25"/>
        <v>7.6390339103129371E-5</v>
      </c>
      <c r="I535" s="331">
        <v>8975</v>
      </c>
      <c r="J535" s="331">
        <v>1168532</v>
      </c>
      <c r="K535" s="331">
        <f t="shared" si="26"/>
        <v>-1159557</v>
      </c>
      <c r="L535" s="199">
        <v>2.4</v>
      </c>
      <c r="M535" s="199">
        <v>1.52</v>
      </c>
    </row>
    <row r="536" spans="1:13" ht="15" customHeight="1" x14ac:dyDescent="0.25">
      <c r="A536" s="49">
        <v>2010</v>
      </c>
      <c r="B536" s="330" t="s">
        <v>16</v>
      </c>
      <c r="C536" s="331">
        <v>213461624414</v>
      </c>
      <c r="D536" s="331">
        <v>56681048886</v>
      </c>
      <c r="E536" s="331">
        <v>1859796730</v>
      </c>
      <c r="F536" s="331">
        <v>2895592</v>
      </c>
      <c r="G536" s="370">
        <f t="shared" si="24"/>
        <v>1.3564930033438325E-5</v>
      </c>
      <c r="H536" s="370">
        <f t="shared" si="25"/>
        <v>5.1085716600336236E-5</v>
      </c>
      <c r="I536" s="331">
        <v>1509</v>
      </c>
      <c r="J536" s="331">
        <v>2375751</v>
      </c>
      <c r="K536" s="331">
        <f t="shared" si="26"/>
        <v>-2374242</v>
      </c>
      <c r="L536" s="199">
        <v>3.3</v>
      </c>
      <c r="M536" s="199">
        <v>1.56</v>
      </c>
    </row>
    <row r="537" spans="1:13" ht="15" customHeight="1" x14ac:dyDescent="0.25">
      <c r="A537" s="49">
        <v>2011</v>
      </c>
      <c r="B537" s="330" t="s">
        <v>16</v>
      </c>
      <c r="C537" s="331">
        <v>223484931381</v>
      </c>
      <c r="D537" s="331">
        <v>58955633911</v>
      </c>
      <c r="E537" s="331">
        <v>2594090180</v>
      </c>
      <c r="F537" s="331">
        <v>2231359</v>
      </c>
      <c r="G537" s="370">
        <f t="shared" si="24"/>
        <v>9.9843823304397665E-6</v>
      </c>
      <c r="H537" s="370">
        <f t="shared" si="25"/>
        <v>3.784810461657458E-5</v>
      </c>
      <c r="I537" s="331">
        <v>0</v>
      </c>
      <c r="J537" s="331">
        <v>2132155</v>
      </c>
      <c r="K537" s="331">
        <f t="shared" si="26"/>
        <v>-2132155</v>
      </c>
      <c r="L537" s="199">
        <v>4.4000000000000004</v>
      </c>
      <c r="M537" s="199">
        <v>1.56</v>
      </c>
    </row>
    <row r="538" spans="1:13" ht="15" customHeight="1" x14ac:dyDescent="0.25">
      <c r="A538" s="49">
        <v>2012</v>
      </c>
      <c r="B538" s="330" t="s">
        <v>16</v>
      </c>
      <c r="C538" s="331">
        <v>233506591266</v>
      </c>
      <c r="D538" s="331">
        <v>62925552620</v>
      </c>
      <c r="E538" s="331">
        <v>3216666204</v>
      </c>
      <c r="F538" s="331">
        <v>2081444</v>
      </c>
      <c r="G538" s="370">
        <f t="shared" si="24"/>
        <v>8.9138554450007559E-6</v>
      </c>
      <c r="H538" s="370">
        <f t="shared" si="25"/>
        <v>3.3077881930884186E-5</v>
      </c>
      <c r="I538" s="331">
        <v>575310</v>
      </c>
      <c r="J538" s="331">
        <v>0</v>
      </c>
      <c r="K538" s="331">
        <f t="shared" si="26"/>
        <v>575310</v>
      </c>
      <c r="L538" s="199">
        <v>5.1100000000000003</v>
      </c>
      <c r="M538" s="199">
        <v>1.56</v>
      </c>
    </row>
    <row r="539" spans="1:13" ht="15" customHeight="1" x14ac:dyDescent="0.25">
      <c r="A539" s="49">
        <v>2013</v>
      </c>
      <c r="B539" s="330" t="s">
        <v>16</v>
      </c>
      <c r="C539" s="331">
        <v>237251666231</v>
      </c>
      <c r="D539" s="331">
        <v>61409830566</v>
      </c>
      <c r="E539" s="331">
        <v>2785250984</v>
      </c>
      <c r="F539" s="331">
        <v>2076367</v>
      </c>
      <c r="G539" s="370">
        <f t="shared" si="24"/>
        <v>8.7517488622328409E-6</v>
      </c>
      <c r="H539" s="370">
        <f t="shared" si="25"/>
        <v>3.381163863932879E-5</v>
      </c>
      <c r="I539" s="331">
        <v>1004494</v>
      </c>
      <c r="J539" s="331">
        <v>0</v>
      </c>
      <c r="K539" s="331">
        <f t="shared" si="26"/>
        <v>1004494</v>
      </c>
      <c r="L539" s="199">
        <v>4.53</v>
      </c>
      <c r="M539" s="199">
        <v>1.56</v>
      </c>
    </row>
    <row r="540" spans="1:13" ht="15" customHeight="1" x14ac:dyDescent="0.25">
      <c r="A540" s="49">
        <v>2014</v>
      </c>
      <c r="B540" s="330" t="s">
        <v>16</v>
      </c>
      <c r="C540" s="331">
        <v>248415313746</v>
      </c>
      <c r="D540" s="331">
        <v>63575343889</v>
      </c>
      <c r="E540" s="331">
        <v>2477693005</v>
      </c>
      <c r="F540" s="331">
        <v>1871384</v>
      </c>
      <c r="G540" s="370">
        <f t="shared" si="24"/>
        <v>7.5332875891598818E-6</v>
      </c>
      <c r="H540" s="370">
        <f t="shared" si="25"/>
        <v>2.9435688201189465E-5</v>
      </c>
      <c r="I540" s="331">
        <v>1306858</v>
      </c>
      <c r="J540" s="331">
        <v>0</v>
      </c>
      <c r="K540" s="331">
        <f t="shared" si="26"/>
        <v>1306858</v>
      </c>
      <c r="L540" s="333">
        <v>3.8972545855606424</v>
      </c>
      <c r="M540" s="199">
        <v>1.56</v>
      </c>
    </row>
    <row r="541" spans="1:13" ht="15" customHeight="1" x14ac:dyDescent="0.25">
      <c r="A541" s="49">
        <v>2015</v>
      </c>
      <c r="B541" s="330" t="s">
        <v>16</v>
      </c>
      <c r="C541" s="334">
        <v>262323427000</v>
      </c>
      <c r="D541" s="334">
        <v>65353114000</v>
      </c>
      <c r="E541" s="334">
        <v>2300973000</v>
      </c>
      <c r="F541" s="331">
        <v>1668095</v>
      </c>
      <c r="G541" s="370">
        <f t="shared" si="24"/>
        <v>6.3589250074870363E-6</v>
      </c>
      <c r="H541" s="370">
        <f t="shared" si="25"/>
        <v>2.552433844238853E-5</v>
      </c>
      <c r="I541" s="331">
        <v>1540766</v>
      </c>
      <c r="J541" s="199">
        <v>0</v>
      </c>
      <c r="K541" s="331">
        <f t="shared" si="26"/>
        <v>1540766</v>
      </c>
      <c r="L541" s="199">
        <v>3.4</v>
      </c>
      <c r="M541" s="199">
        <v>1.56</v>
      </c>
    </row>
    <row r="542" spans="1:13" ht="15" customHeight="1" x14ac:dyDescent="0.25">
      <c r="A542" s="49">
        <v>1980</v>
      </c>
      <c r="B542" s="330" t="s">
        <v>17</v>
      </c>
      <c r="C542" s="331">
        <v>25085651683</v>
      </c>
      <c r="D542" s="331">
        <v>10421720219</v>
      </c>
      <c r="E542" s="331">
        <v>141653953</v>
      </c>
      <c r="F542" s="331">
        <v>319084</v>
      </c>
      <c r="G542" s="370">
        <f t="shared" si="24"/>
        <v>1.2719781173404249E-5</v>
      </c>
      <c r="H542" s="370">
        <f t="shared" si="25"/>
        <v>3.0617210335225943E-5</v>
      </c>
      <c r="I542" s="331">
        <v>231270</v>
      </c>
      <c r="J542" s="331">
        <v>0</v>
      </c>
      <c r="K542" s="331">
        <f t="shared" si="26"/>
        <v>231270</v>
      </c>
      <c r="L542" s="199">
        <v>1.36</v>
      </c>
      <c r="M542" s="199">
        <v>1.5</v>
      </c>
    </row>
    <row r="543" spans="1:13" ht="15" customHeight="1" x14ac:dyDescent="0.25">
      <c r="A543" s="49">
        <v>1981</v>
      </c>
      <c r="B543" s="330" t="s">
        <v>17</v>
      </c>
      <c r="C543" s="331">
        <v>27050909731</v>
      </c>
      <c r="D543" s="331">
        <v>10443134336</v>
      </c>
      <c r="E543" s="331">
        <v>181188101</v>
      </c>
      <c r="F543" s="331">
        <v>236600</v>
      </c>
      <c r="G543" s="370">
        <f t="shared" si="24"/>
        <v>8.7464710929429253E-6</v>
      </c>
      <c r="H543" s="370">
        <f t="shared" si="25"/>
        <v>2.2656033369635283E-5</v>
      </c>
      <c r="I543" s="331">
        <v>176311</v>
      </c>
      <c r="J543" s="331">
        <v>0</v>
      </c>
      <c r="K543" s="331">
        <f t="shared" si="26"/>
        <v>176311</v>
      </c>
      <c r="L543" s="199">
        <v>1.73</v>
      </c>
      <c r="M543" s="199">
        <v>1.37</v>
      </c>
    </row>
    <row r="544" spans="1:13" ht="15" customHeight="1" x14ac:dyDescent="0.25">
      <c r="A544" s="49">
        <v>1982</v>
      </c>
      <c r="B544" s="330" t="s">
        <v>17</v>
      </c>
      <c r="C544" s="331">
        <v>26348151275</v>
      </c>
      <c r="D544" s="331">
        <v>9830611599</v>
      </c>
      <c r="E544" s="331">
        <v>277940324</v>
      </c>
      <c r="F544" s="331">
        <v>389443</v>
      </c>
      <c r="G544" s="370">
        <f t="shared" si="24"/>
        <v>1.4780657509337911E-5</v>
      </c>
      <c r="H544" s="370">
        <f t="shared" si="25"/>
        <v>3.9615337873750943E-5</v>
      </c>
      <c r="I544" s="331">
        <v>62717</v>
      </c>
      <c r="J544" s="331">
        <v>0</v>
      </c>
      <c r="K544" s="331">
        <f t="shared" si="26"/>
        <v>62717</v>
      </c>
      <c r="L544" s="199">
        <v>2.83</v>
      </c>
      <c r="M544" s="199">
        <v>1.58</v>
      </c>
    </row>
    <row r="545" spans="1:13" ht="15" customHeight="1" x14ac:dyDescent="0.25">
      <c r="A545" s="49">
        <v>1983</v>
      </c>
      <c r="B545" s="330" t="s">
        <v>17</v>
      </c>
      <c r="C545" s="331">
        <v>27396670123</v>
      </c>
      <c r="D545" s="331">
        <v>11087757638</v>
      </c>
      <c r="E545" s="331">
        <v>349276835</v>
      </c>
      <c r="F545" s="331">
        <v>283645</v>
      </c>
      <c r="G545" s="370">
        <f t="shared" si="24"/>
        <v>1.0353265514624527E-5</v>
      </c>
      <c r="H545" s="370">
        <f t="shared" si="25"/>
        <v>2.5581818187285309E-5</v>
      </c>
      <c r="I545" s="331">
        <v>99542</v>
      </c>
      <c r="J545" s="331">
        <v>0</v>
      </c>
      <c r="K545" s="331">
        <f t="shared" si="26"/>
        <v>99542</v>
      </c>
      <c r="L545" s="199">
        <v>3.15</v>
      </c>
      <c r="M545" s="199">
        <v>1.58</v>
      </c>
    </row>
    <row r="546" spans="1:13" ht="15" customHeight="1" x14ac:dyDescent="0.25">
      <c r="A546" s="49">
        <v>1984</v>
      </c>
      <c r="B546" s="330" t="s">
        <v>17</v>
      </c>
      <c r="C546" s="331">
        <v>30188658340</v>
      </c>
      <c r="D546" s="331">
        <v>11782834978</v>
      </c>
      <c r="E546" s="331">
        <v>311386049</v>
      </c>
      <c r="F546" s="331">
        <v>189984</v>
      </c>
      <c r="G546" s="370">
        <f t="shared" si="24"/>
        <v>6.2932243579792026E-6</v>
      </c>
      <c r="H546" s="370">
        <f t="shared" si="25"/>
        <v>1.6123793667205173E-5</v>
      </c>
      <c r="I546" s="331">
        <v>244601</v>
      </c>
      <c r="J546" s="331">
        <v>0</v>
      </c>
      <c r="K546" s="331">
        <f t="shared" si="26"/>
        <v>244601</v>
      </c>
      <c r="L546" s="199">
        <v>2.64</v>
      </c>
      <c r="M546" s="199">
        <v>1.58</v>
      </c>
    </row>
    <row r="547" spans="1:13" ht="15" customHeight="1" x14ac:dyDescent="0.25">
      <c r="A547" s="49">
        <v>1985</v>
      </c>
      <c r="B547" s="330" t="s">
        <v>17</v>
      </c>
      <c r="C547" s="331">
        <v>31960555757</v>
      </c>
      <c r="D547" s="331">
        <v>12106590023</v>
      </c>
      <c r="E547" s="331">
        <v>298829719</v>
      </c>
      <c r="F547" s="331">
        <v>183871</v>
      </c>
      <c r="G547" s="370">
        <f t="shared" si="24"/>
        <v>5.7530601594663628E-6</v>
      </c>
      <c r="H547" s="370">
        <f t="shared" si="25"/>
        <v>1.5187678747746756E-5</v>
      </c>
      <c r="I547" s="331">
        <v>392495</v>
      </c>
      <c r="J547" s="331">
        <v>0</v>
      </c>
      <c r="K547" s="331">
        <f t="shared" si="26"/>
        <v>392495</v>
      </c>
      <c r="L547" s="199">
        <v>2.4700000000000002</v>
      </c>
      <c r="M547" s="199">
        <v>1.58</v>
      </c>
    </row>
    <row r="548" spans="1:13" ht="15" customHeight="1" x14ac:dyDescent="0.25">
      <c r="A548" s="49">
        <v>1986</v>
      </c>
      <c r="B548" s="330" t="s">
        <v>17</v>
      </c>
      <c r="C548" s="331">
        <v>33635325682</v>
      </c>
      <c r="D548" s="331">
        <v>12496492605</v>
      </c>
      <c r="E548" s="331">
        <v>179439376</v>
      </c>
      <c r="F548" s="331">
        <v>187977</v>
      </c>
      <c r="G548" s="370">
        <f t="shared" si="24"/>
        <v>5.5886778614008249E-6</v>
      </c>
      <c r="H548" s="370">
        <f t="shared" si="25"/>
        <v>1.5042380765686853E-5</v>
      </c>
      <c r="I548" s="331">
        <v>436454</v>
      </c>
      <c r="J548" s="331">
        <v>0</v>
      </c>
      <c r="K548" s="331">
        <f t="shared" si="26"/>
        <v>436454</v>
      </c>
      <c r="L548" s="199">
        <v>1.44</v>
      </c>
      <c r="M548" s="199">
        <v>1.58</v>
      </c>
    </row>
    <row r="549" spans="1:13" ht="15" customHeight="1" x14ac:dyDescent="0.25">
      <c r="A549" s="49">
        <v>1987</v>
      </c>
      <c r="B549" s="330" t="s">
        <v>17</v>
      </c>
      <c r="C549" s="331">
        <v>36182121041</v>
      </c>
      <c r="D549" s="331">
        <v>13058227423</v>
      </c>
      <c r="E549" s="331">
        <v>187868470</v>
      </c>
      <c r="F549" s="331">
        <v>154022</v>
      </c>
      <c r="G549" s="370">
        <f t="shared" si="24"/>
        <v>4.256853815326885E-6</v>
      </c>
      <c r="H549" s="370">
        <f t="shared" si="25"/>
        <v>1.1795015893865857E-5</v>
      </c>
      <c r="I549" s="331">
        <v>508516</v>
      </c>
      <c r="J549" s="331">
        <v>0</v>
      </c>
      <c r="K549" s="331">
        <f t="shared" si="26"/>
        <v>508516</v>
      </c>
      <c r="L549" s="199">
        <v>1.44</v>
      </c>
      <c r="M549" s="199">
        <v>1.58</v>
      </c>
    </row>
    <row r="550" spans="1:13" ht="15" customHeight="1" x14ac:dyDescent="0.25">
      <c r="A550" s="49">
        <v>1988</v>
      </c>
      <c r="B550" s="330" t="s">
        <v>17</v>
      </c>
      <c r="C550" s="331">
        <v>39143776740</v>
      </c>
      <c r="D550" s="331">
        <v>13818234264</v>
      </c>
      <c r="E550" s="331">
        <v>200977432</v>
      </c>
      <c r="F550" s="331">
        <v>121409</v>
      </c>
      <c r="G550" s="370">
        <f t="shared" si="24"/>
        <v>3.1016169136264087E-6</v>
      </c>
      <c r="H550" s="370">
        <f t="shared" si="25"/>
        <v>8.7861442844619588E-6</v>
      </c>
      <c r="I550" s="331">
        <v>633551</v>
      </c>
      <c r="J550" s="331">
        <v>0</v>
      </c>
      <c r="K550" s="331">
        <f t="shared" si="26"/>
        <v>633551</v>
      </c>
      <c r="L550" s="199">
        <v>1.45</v>
      </c>
      <c r="M550" s="199">
        <v>1.58</v>
      </c>
    </row>
    <row r="551" spans="1:13" ht="15" customHeight="1" x14ac:dyDescent="0.25">
      <c r="A551" s="49">
        <v>1989</v>
      </c>
      <c r="B551" s="330" t="s">
        <v>17</v>
      </c>
      <c r="C551" s="331">
        <v>41370678243</v>
      </c>
      <c r="D551" s="331">
        <v>14335394736</v>
      </c>
      <c r="E551" s="331">
        <v>201456144</v>
      </c>
      <c r="F551" s="331">
        <v>123356</v>
      </c>
      <c r="G551" s="370">
        <f t="shared" si="24"/>
        <v>2.9817253484567195E-6</v>
      </c>
      <c r="H551" s="370">
        <f t="shared" si="25"/>
        <v>8.6049949981649398E-6</v>
      </c>
      <c r="I551" s="331">
        <v>770418</v>
      </c>
      <c r="J551" s="331">
        <v>0</v>
      </c>
      <c r="K551" s="331">
        <f t="shared" si="26"/>
        <v>770418</v>
      </c>
      <c r="L551" s="199">
        <v>1.41</v>
      </c>
      <c r="M551" s="199">
        <v>1.58</v>
      </c>
    </row>
    <row r="552" spans="1:13" ht="15" customHeight="1" x14ac:dyDescent="0.25">
      <c r="A552" s="49">
        <v>1990</v>
      </c>
      <c r="B552" s="330" t="s">
        <v>17</v>
      </c>
      <c r="C552" s="331">
        <v>43311933643</v>
      </c>
      <c r="D552" s="331">
        <v>14636941999</v>
      </c>
      <c r="E552" s="331">
        <v>196378071</v>
      </c>
      <c r="F552" s="331">
        <v>134794</v>
      </c>
      <c r="G552" s="370">
        <f t="shared" si="24"/>
        <v>3.112167679029153E-6</v>
      </c>
      <c r="H552" s="370">
        <f t="shared" si="25"/>
        <v>9.2091640459604987E-6</v>
      </c>
      <c r="I552" s="331">
        <v>879027</v>
      </c>
      <c r="J552" s="331">
        <v>0</v>
      </c>
      <c r="K552" s="331">
        <f t="shared" si="26"/>
        <v>879027</v>
      </c>
      <c r="L552" s="199">
        <v>1.34</v>
      </c>
      <c r="M552" s="199">
        <v>1.58</v>
      </c>
    </row>
    <row r="553" spans="1:13" ht="15" customHeight="1" x14ac:dyDescent="0.25">
      <c r="A553" s="49">
        <v>1991</v>
      </c>
      <c r="B553" s="330" t="s">
        <v>17</v>
      </c>
      <c r="C553" s="331">
        <v>44448114209</v>
      </c>
      <c r="D553" s="331">
        <v>14574049928</v>
      </c>
      <c r="E553" s="331">
        <v>177144234</v>
      </c>
      <c r="F553" s="331">
        <v>207333</v>
      </c>
      <c r="G553" s="370">
        <f t="shared" si="24"/>
        <v>4.664607344759264E-6</v>
      </c>
      <c r="H553" s="370">
        <f t="shared" si="25"/>
        <v>1.4226176047446295E-5</v>
      </c>
      <c r="I553" s="331">
        <v>899139</v>
      </c>
      <c r="J553" s="331">
        <v>0</v>
      </c>
      <c r="K553" s="331">
        <f t="shared" si="26"/>
        <v>899139</v>
      </c>
      <c r="L553" s="199">
        <v>1.22</v>
      </c>
      <c r="M553" s="199">
        <v>1.58</v>
      </c>
    </row>
    <row r="554" spans="1:13" ht="15" customHeight="1" x14ac:dyDescent="0.25">
      <c r="A554" s="49">
        <v>1992</v>
      </c>
      <c r="B554" s="330" t="s">
        <v>17</v>
      </c>
      <c r="C554" s="331">
        <v>47354166011</v>
      </c>
      <c r="D554" s="331">
        <v>14880535028</v>
      </c>
      <c r="E554" s="331">
        <v>199966951</v>
      </c>
      <c r="F554" s="331">
        <v>192711</v>
      </c>
      <c r="G554" s="370">
        <f t="shared" si="24"/>
        <v>4.069568028190693E-6</v>
      </c>
      <c r="H554" s="370">
        <f t="shared" si="25"/>
        <v>1.2950542412445843E-5</v>
      </c>
      <c r="I554" s="331">
        <v>941632</v>
      </c>
      <c r="J554" s="331">
        <v>0</v>
      </c>
      <c r="K554" s="331">
        <f t="shared" si="26"/>
        <v>941632</v>
      </c>
      <c r="L554" s="199">
        <v>1.34</v>
      </c>
      <c r="M554" s="199">
        <v>1.58</v>
      </c>
    </row>
    <row r="555" spans="1:13" ht="15" customHeight="1" x14ac:dyDescent="0.25">
      <c r="A555" s="49">
        <v>1993</v>
      </c>
      <c r="B555" s="330" t="s">
        <v>17</v>
      </c>
      <c r="C555" s="331">
        <v>49886443758</v>
      </c>
      <c r="D555" s="331">
        <v>15519012728</v>
      </c>
      <c r="E555" s="331">
        <v>212762122</v>
      </c>
      <c r="F555" s="331">
        <v>193937</v>
      </c>
      <c r="G555" s="370">
        <f t="shared" si="24"/>
        <v>3.8875691548748541E-6</v>
      </c>
      <c r="H555" s="370">
        <f t="shared" si="25"/>
        <v>1.2496735675078827E-5</v>
      </c>
      <c r="I555" s="331">
        <v>1024658</v>
      </c>
      <c r="J555" s="331">
        <v>0</v>
      </c>
      <c r="K555" s="331">
        <f t="shared" si="26"/>
        <v>1024658</v>
      </c>
      <c r="L555" s="199">
        <v>1.37</v>
      </c>
      <c r="M555" s="199">
        <v>1.58</v>
      </c>
    </row>
    <row r="556" spans="1:13" ht="15" customHeight="1" x14ac:dyDescent="0.25">
      <c r="A556" s="49">
        <v>1994</v>
      </c>
      <c r="B556" s="330" t="s">
        <v>17</v>
      </c>
      <c r="C556" s="331">
        <v>53747133450</v>
      </c>
      <c r="D556" s="331">
        <v>16559672659</v>
      </c>
      <c r="E556" s="331">
        <v>226797055</v>
      </c>
      <c r="F556" s="331">
        <v>217095</v>
      </c>
      <c r="G556" s="370">
        <f t="shared" si="24"/>
        <v>4.0391921590006211E-6</v>
      </c>
      <c r="H556" s="370">
        <f t="shared" si="25"/>
        <v>1.3109860591478012E-5</v>
      </c>
      <c r="I556" s="331">
        <v>1132343</v>
      </c>
      <c r="J556" s="331">
        <v>0</v>
      </c>
      <c r="K556" s="331">
        <f t="shared" si="26"/>
        <v>1132343</v>
      </c>
      <c r="L556" s="199">
        <v>1.37</v>
      </c>
      <c r="M556" s="199">
        <v>1.58</v>
      </c>
    </row>
    <row r="557" spans="1:13" ht="15" customHeight="1" x14ac:dyDescent="0.25">
      <c r="A557" s="49">
        <v>1995</v>
      </c>
      <c r="B557" s="330" t="s">
        <v>17</v>
      </c>
      <c r="C557" s="331">
        <v>56954710772</v>
      </c>
      <c r="D557" s="331">
        <v>17252237733</v>
      </c>
      <c r="E557" s="331">
        <v>234441240</v>
      </c>
      <c r="F557" s="331">
        <v>223869</v>
      </c>
      <c r="G557" s="370">
        <f t="shared" si="24"/>
        <v>3.9306494048611371E-6</v>
      </c>
      <c r="H557" s="370">
        <f t="shared" si="25"/>
        <v>1.2976229719567591E-5</v>
      </c>
      <c r="I557" s="331">
        <v>1228070</v>
      </c>
      <c r="J557" s="331">
        <v>0</v>
      </c>
      <c r="K557" s="331">
        <f t="shared" si="26"/>
        <v>1228070</v>
      </c>
      <c r="L557" s="199">
        <v>1.36</v>
      </c>
      <c r="M557" s="199">
        <v>1.36</v>
      </c>
    </row>
    <row r="558" spans="1:13" ht="15" customHeight="1" x14ac:dyDescent="0.25">
      <c r="A558" s="49">
        <v>1996</v>
      </c>
      <c r="B558" s="330" t="s">
        <v>17</v>
      </c>
      <c r="C558" s="331">
        <v>59770272823</v>
      </c>
      <c r="D558" s="331">
        <v>17489273413</v>
      </c>
      <c r="E558" s="331">
        <v>225051056</v>
      </c>
      <c r="F558" s="331">
        <v>233209</v>
      </c>
      <c r="G558" s="370">
        <f t="shared" si="24"/>
        <v>3.9017556552002151E-6</v>
      </c>
      <c r="H558" s="370">
        <f t="shared" si="25"/>
        <v>1.3334401864096468E-5</v>
      </c>
      <c r="I558" s="331">
        <v>1273086</v>
      </c>
      <c r="J558" s="331">
        <v>0</v>
      </c>
      <c r="K558" s="331">
        <f t="shared" si="26"/>
        <v>1273086</v>
      </c>
      <c r="L558" s="199">
        <v>1.29</v>
      </c>
      <c r="M558" s="199">
        <v>1.36</v>
      </c>
    </row>
    <row r="559" spans="1:13" ht="15" customHeight="1" x14ac:dyDescent="0.25">
      <c r="A559" s="49">
        <v>1997</v>
      </c>
      <c r="B559" s="330" t="s">
        <v>17</v>
      </c>
      <c r="C559" s="331">
        <v>63617947531</v>
      </c>
      <c r="D559" s="331">
        <v>18062387907</v>
      </c>
      <c r="E559" s="331">
        <v>251135042</v>
      </c>
      <c r="F559" s="331">
        <v>208781</v>
      </c>
      <c r="G559" s="370">
        <f t="shared" si="24"/>
        <v>3.281794023585316E-6</v>
      </c>
      <c r="H559" s="370">
        <f t="shared" si="25"/>
        <v>1.1558881421159593E-5</v>
      </c>
      <c r="I559" s="331">
        <v>1362463</v>
      </c>
      <c r="J559" s="331">
        <v>0</v>
      </c>
      <c r="K559" s="331">
        <f t="shared" si="26"/>
        <v>1362463</v>
      </c>
      <c r="L559" s="199">
        <v>1.39</v>
      </c>
      <c r="M559" s="199">
        <v>1.36</v>
      </c>
    </row>
    <row r="560" spans="1:13" ht="15" customHeight="1" x14ac:dyDescent="0.25">
      <c r="A560" s="49">
        <v>1998</v>
      </c>
      <c r="B560" s="330" t="s">
        <v>17</v>
      </c>
      <c r="C560" s="331">
        <v>68663962560</v>
      </c>
      <c r="D560" s="331">
        <v>18808037117</v>
      </c>
      <c r="E560" s="331">
        <v>220166360</v>
      </c>
      <c r="F560" s="331">
        <v>223110</v>
      </c>
      <c r="G560" s="370">
        <f t="shared" si="24"/>
        <v>3.2493027154534207E-6</v>
      </c>
      <c r="H560" s="370">
        <f t="shared" si="25"/>
        <v>1.1862481906649249E-5</v>
      </c>
      <c r="I560" s="331">
        <v>1417827</v>
      </c>
      <c r="J560" s="331">
        <v>0</v>
      </c>
      <c r="K560" s="331">
        <f t="shared" si="26"/>
        <v>1417827</v>
      </c>
      <c r="L560" s="199">
        <v>1.17</v>
      </c>
      <c r="M560" s="199">
        <v>1.36</v>
      </c>
    </row>
    <row r="561" spans="1:13" x14ac:dyDescent="0.25">
      <c r="A561" s="49">
        <v>1999</v>
      </c>
      <c r="B561" s="330" t="s">
        <v>17</v>
      </c>
      <c r="C561" s="331">
        <v>72168954301</v>
      </c>
      <c r="D561" s="331">
        <v>19251993846</v>
      </c>
      <c r="E561" s="331">
        <v>276236309</v>
      </c>
      <c r="F561" s="331">
        <v>219826</v>
      </c>
      <c r="G561" s="370">
        <f t="shared" si="24"/>
        <v>3.0459912039622558E-6</v>
      </c>
      <c r="H561" s="370">
        <f t="shared" si="25"/>
        <v>1.1418349795788731E-5</v>
      </c>
      <c r="I561" s="331">
        <v>1519102</v>
      </c>
      <c r="J561" s="331">
        <v>0</v>
      </c>
      <c r="K561" s="331">
        <f t="shared" si="26"/>
        <v>1519102</v>
      </c>
      <c r="L561" s="199">
        <v>1.43</v>
      </c>
      <c r="M561" s="199">
        <v>1.36</v>
      </c>
    </row>
    <row r="562" spans="1:13" ht="15" customHeight="1" x14ac:dyDescent="0.25">
      <c r="A562" s="49">
        <v>2000</v>
      </c>
      <c r="B562" s="330" t="s">
        <v>17</v>
      </c>
      <c r="C562" s="331">
        <v>74999533235</v>
      </c>
      <c r="D562" s="331">
        <v>19534768032</v>
      </c>
      <c r="E562" s="331">
        <v>277689026</v>
      </c>
      <c r="F562" s="331">
        <v>258512</v>
      </c>
      <c r="G562" s="370">
        <f t="shared" si="24"/>
        <v>3.4468481182408255E-6</v>
      </c>
      <c r="H562" s="370">
        <f t="shared" si="25"/>
        <v>1.323343075159788E-5</v>
      </c>
      <c r="I562" s="331">
        <v>1605598</v>
      </c>
      <c r="J562" s="331">
        <v>0</v>
      </c>
      <c r="K562" s="331">
        <f t="shared" si="26"/>
        <v>1605598</v>
      </c>
      <c r="L562" s="199">
        <v>1.42</v>
      </c>
      <c r="M562" s="199">
        <v>1.36</v>
      </c>
    </row>
    <row r="563" spans="1:13" ht="15" customHeight="1" x14ac:dyDescent="0.25">
      <c r="A563" s="49">
        <v>2001</v>
      </c>
      <c r="B563" s="330" t="s">
        <v>17</v>
      </c>
      <c r="C563" s="331">
        <v>74570622625</v>
      </c>
      <c r="D563" s="331">
        <v>18875992500</v>
      </c>
      <c r="E563" s="331">
        <v>203446602</v>
      </c>
      <c r="F563" s="331">
        <v>495278</v>
      </c>
      <c r="G563" s="370">
        <f t="shared" si="24"/>
        <v>6.6417307857364829E-6</v>
      </c>
      <c r="H563" s="370">
        <f t="shared" si="25"/>
        <v>2.6238514345669505E-5</v>
      </c>
      <c r="I563" s="331">
        <v>1330294</v>
      </c>
      <c r="J563" s="331">
        <v>0</v>
      </c>
      <c r="K563" s="331">
        <f t="shared" si="26"/>
        <v>1330294</v>
      </c>
      <c r="L563" s="199">
        <v>1.08</v>
      </c>
      <c r="M563" s="199">
        <v>1.21</v>
      </c>
    </row>
    <row r="564" spans="1:13" ht="15" customHeight="1" x14ac:dyDescent="0.25">
      <c r="A564" s="49">
        <v>2002</v>
      </c>
      <c r="B564" s="330" t="s">
        <v>17</v>
      </c>
      <c r="C564" s="331">
        <v>74920380360</v>
      </c>
      <c r="D564" s="331">
        <v>18553861736</v>
      </c>
      <c r="E564" s="331">
        <v>230190432</v>
      </c>
      <c r="F564" s="331">
        <v>578523</v>
      </c>
      <c r="G564" s="370">
        <f t="shared" si="24"/>
        <v>7.7218374655886483E-6</v>
      </c>
      <c r="H564" s="370">
        <f t="shared" si="25"/>
        <v>3.1180732519823278E-5</v>
      </c>
      <c r="I564" s="331">
        <v>1124296</v>
      </c>
      <c r="J564" s="331">
        <v>0</v>
      </c>
      <c r="K564" s="331">
        <f t="shared" si="26"/>
        <v>1124296</v>
      </c>
      <c r="L564" s="199">
        <v>1.24</v>
      </c>
      <c r="M564" s="199">
        <v>1.21</v>
      </c>
    </row>
    <row r="565" spans="1:13" ht="15" customHeight="1" x14ac:dyDescent="0.25">
      <c r="A565" s="49">
        <v>2003</v>
      </c>
      <c r="B565" s="330" t="s">
        <v>17</v>
      </c>
      <c r="C565" s="331">
        <v>76130759104</v>
      </c>
      <c r="D565" s="331">
        <v>18347817701</v>
      </c>
      <c r="E565" s="331">
        <v>342466342</v>
      </c>
      <c r="F565" s="331">
        <v>616928</v>
      </c>
      <c r="G565" s="370">
        <f t="shared" si="24"/>
        <v>8.1035314406524273E-6</v>
      </c>
      <c r="H565" s="370">
        <f t="shared" si="25"/>
        <v>3.3624053282716884E-5</v>
      </c>
      <c r="I565" s="331">
        <v>758340</v>
      </c>
      <c r="J565" s="331">
        <v>0</v>
      </c>
      <c r="K565" s="331">
        <f t="shared" si="26"/>
        <v>758340</v>
      </c>
      <c r="L565" s="199">
        <v>1.87</v>
      </c>
      <c r="M565" s="199">
        <v>1.21</v>
      </c>
    </row>
    <row r="566" spans="1:13" ht="15" customHeight="1" x14ac:dyDescent="0.25">
      <c r="A566" s="49">
        <v>2004</v>
      </c>
      <c r="B566" s="330" t="s">
        <v>17</v>
      </c>
      <c r="C566" s="331">
        <v>80005467238</v>
      </c>
      <c r="D566" s="331">
        <v>18814464902</v>
      </c>
      <c r="E566" s="331">
        <v>445185145</v>
      </c>
      <c r="F566" s="331">
        <v>595933</v>
      </c>
      <c r="G566" s="370">
        <f t="shared" si="24"/>
        <v>7.4486534554847415E-6</v>
      </c>
      <c r="H566" s="370">
        <f t="shared" si="25"/>
        <v>3.1674193398753082E-5</v>
      </c>
      <c r="I566" s="331">
        <v>571636</v>
      </c>
      <c r="J566" s="331">
        <v>0</v>
      </c>
      <c r="K566" s="331">
        <f t="shared" si="26"/>
        <v>571636</v>
      </c>
      <c r="L566" s="199">
        <v>2.37</v>
      </c>
      <c r="M566" s="199">
        <v>1.21</v>
      </c>
    </row>
    <row r="567" spans="1:13" ht="15" customHeight="1" x14ac:dyDescent="0.25">
      <c r="A567" s="49">
        <v>2005</v>
      </c>
      <c r="B567" s="330" t="s">
        <v>17</v>
      </c>
      <c r="C567" s="331">
        <v>82359769051</v>
      </c>
      <c r="D567" s="331">
        <v>19097716657</v>
      </c>
      <c r="E567" s="331">
        <v>595830405</v>
      </c>
      <c r="F567" s="331">
        <v>630736</v>
      </c>
      <c r="G567" s="370">
        <f t="shared" si="24"/>
        <v>7.6583021937497976E-6</v>
      </c>
      <c r="H567" s="370">
        <f t="shared" si="25"/>
        <v>3.3026775468930869E-5</v>
      </c>
      <c r="I567" s="331">
        <v>534337</v>
      </c>
      <c r="J567" s="331">
        <v>0</v>
      </c>
      <c r="K567" s="331">
        <f t="shared" si="26"/>
        <v>534337</v>
      </c>
      <c r="L567" s="199">
        <v>3.12</v>
      </c>
      <c r="M567" s="199">
        <v>1.21</v>
      </c>
    </row>
    <row r="568" spans="1:13" ht="15" customHeight="1" x14ac:dyDescent="0.25">
      <c r="A568" s="49">
        <v>2006</v>
      </c>
      <c r="B568" s="330" t="s">
        <v>17</v>
      </c>
      <c r="C568" s="331">
        <v>85609854920</v>
      </c>
      <c r="D568" s="331">
        <v>19352587535</v>
      </c>
      <c r="E568" s="331">
        <v>567915884</v>
      </c>
      <c r="F568" s="331">
        <v>693378</v>
      </c>
      <c r="G568" s="370">
        <f t="shared" si="24"/>
        <v>8.0992778301977296E-6</v>
      </c>
      <c r="H568" s="370">
        <f t="shared" si="25"/>
        <v>3.5828697260559894E-5</v>
      </c>
      <c r="I568" s="331">
        <v>477323</v>
      </c>
      <c r="J568" s="331">
        <v>0</v>
      </c>
      <c r="K568" s="331">
        <f t="shared" si="26"/>
        <v>477323</v>
      </c>
      <c r="L568" s="199">
        <v>2.93</v>
      </c>
      <c r="M568" s="199">
        <v>1.21</v>
      </c>
    </row>
    <row r="569" spans="1:13" ht="15" customHeight="1" x14ac:dyDescent="0.25">
      <c r="A569" s="49">
        <v>2007</v>
      </c>
      <c r="B569" s="330" t="s">
        <v>17</v>
      </c>
      <c r="C569" s="331">
        <v>88117799323</v>
      </c>
      <c r="D569" s="331">
        <v>19521548961</v>
      </c>
      <c r="E569" s="331">
        <v>536875104</v>
      </c>
      <c r="F569" s="331">
        <v>686867</v>
      </c>
      <c r="G569" s="370">
        <f t="shared" si="24"/>
        <v>7.7948723785333784E-6</v>
      </c>
      <c r="H569" s="370">
        <f t="shared" si="25"/>
        <v>3.5185066583200829E-5</v>
      </c>
      <c r="I569" s="331">
        <v>306787</v>
      </c>
      <c r="J569" s="331">
        <v>0</v>
      </c>
      <c r="K569" s="331">
        <f t="shared" si="26"/>
        <v>306787</v>
      </c>
      <c r="L569" s="199">
        <v>2.75</v>
      </c>
      <c r="M569" s="199">
        <v>1.21</v>
      </c>
    </row>
    <row r="570" spans="1:13" ht="15" customHeight="1" x14ac:dyDescent="0.25">
      <c r="A570" s="49">
        <v>2008</v>
      </c>
      <c r="B570" s="330" t="s">
        <v>17</v>
      </c>
      <c r="C570" s="331">
        <v>88329101681</v>
      </c>
      <c r="D570" s="331">
        <v>19022631330</v>
      </c>
      <c r="E570" s="331">
        <v>508277294</v>
      </c>
      <c r="F570" s="331">
        <v>952344</v>
      </c>
      <c r="G570" s="370">
        <f t="shared" si="24"/>
        <v>1.0781769336219272E-5</v>
      </c>
      <c r="H570" s="370">
        <f t="shared" si="25"/>
        <v>5.006373637163897E-5</v>
      </c>
      <c r="I570" s="331">
        <v>12915</v>
      </c>
      <c r="J570" s="331">
        <v>145131</v>
      </c>
      <c r="K570" s="331">
        <f t="shared" si="26"/>
        <v>-132216</v>
      </c>
      <c r="L570" s="199">
        <v>2.7</v>
      </c>
      <c r="M570" s="199">
        <v>1.26</v>
      </c>
    </row>
    <row r="571" spans="1:13" ht="15" customHeight="1" x14ac:dyDescent="0.25">
      <c r="A571" s="49">
        <v>2009</v>
      </c>
      <c r="B571" s="330" t="s">
        <v>17</v>
      </c>
      <c r="C571" s="331">
        <v>80893930564</v>
      </c>
      <c r="D571" s="331">
        <v>17284214020</v>
      </c>
      <c r="E571" s="331">
        <v>451947071</v>
      </c>
      <c r="F571" s="331">
        <v>1763106</v>
      </c>
      <c r="G571" s="370">
        <f t="shared" si="24"/>
        <v>2.1795281644833687E-5</v>
      </c>
      <c r="H571" s="370">
        <f t="shared" si="25"/>
        <v>1.0200672115954278E-4</v>
      </c>
      <c r="I571" s="331">
        <v>18954</v>
      </c>
      <c r="J571" s="331">
        <v>1488584</v>
      </c>
      <c r="K571" s="331">
        <f t="shared" si="26"/>
        <v>-1469630</v>
      </c>
      <c r="L571" s="199">
        <v>2.6</v>
      </c>
      <c r="M571" s="199">
        <v>1.36</v>
      </c>
    </row>
    <row r="572" spans="1:13" ht="15" customHeight="1" x14ac:dyDescent="0.25">
      <c r="A572" s="49">
        <v>2010</v>
      </c>
      <c r="B572" s="330" t="s">
        <v>17</v>
      </c>
      <c r="C572" s="331">
        <v>83455074661</v>
      </c>
      <c r="D572" s="331">
        <v>17970627322</v>
      </c>
      <c r="E572" s="331">
        <v>531330112</v>
      </c>
      <c r="F572" s="331">
        <v>977529</v>
      </c>
      <c r="G572" s="370">
        <f t="shared" si="24"/>
        <v>1.1713236180912749E-5</v>
      </c>
      <c r="H572" s="370">
        <f t="shared" si="25"/>
        <v>5.4395930786639235E-5</v>
      </c>
      <c r="I572" s="331">
        <v>18148</v>
      </c>
      <c r="J572" s="331">
        <v>1955480</v>
      </c>
      <c r="K572" s="331">
        <f t="shared" si="26"/>
        <v>-1937332</v>
      </c>
      <c r="L572" s="199">
        <v>3</v>
      </c>
      <c r="M572" s="199">
        <v>1.48</v>
      </c>
    </row>
    <row r="573" spans="1:13" ht="15" customHeight="1" x14ac:dyDescent="0.25">
      <c r="A573" s="49">
        <v>2011</v>
      </c>
      <c r="B573" s="330" t="s">
        <v>17</v>
      </c>
      <c r="C573" s="331">
        <v>87471226941</v>
      </c>
      <c r="D573" s="331">
        <v>23109262022</v>
      </c>
      <c r="E573" s="331">
        <v>730160739</v>
      </c>
      <c r="F573" s="331">
        <v>764142</v>
      </c>
      <c r="G573" s="370">
        <f t="shared" si="24"/>
        <v>8.7359241058253313E-6</v>
      </c>
      <c r="H573" s="370">
        <f t="shared" si="25"/>
        <v>3.3066482143503214E-5</v>
      </c>
      <c r="I573" s="331">
        <v>16916</v>
      </c>
      <c r="J573" s="331">
        <v>1966705</v>
      </c>
      <c r="K573" s="331">
        <f t="shared" si="26"/>
        <v>-1949789</v>
      </c>
      <c r="L573" s="199">
        <v>3.2</v>
      </c>
      <c r="M573" s="199">
        <v>1.48</v>
      </c>
    </row>
    <row r="574" spans="1:13" ht="15" customHeight="1" x14ac:dyDescent="0.25">
      <c r="A574" s="49">
        <v>2012</v>
      </c>
      <c r="B574" s="330" t="s">
        <v>17</v>
      </c>
      <c r="C574" s="331">
        <v>91732998394</v>
      </c>
      <c r="D574" s="331">
        <v>23928847705</v>
      </c>
      <c r="E574" s="331">
        <v>751568131</v>
      </c>
      <c r="F574" s="331">
        <v>648565</v>
      </c>
      <c r="G574" s="370">
        <f t="shared" si="24"/>
        <v>7.0701384600377443E-6</v>
      </c>
      <c r="H574" s="370">
        <f t="shared" si="25"/>
        <v>2.7103896016876754E-5</v>
      </c>
      <c r="I574" s="331">
        <v>15939</v>
      </c>
      <c r="J574" s="331">
        <v>1763073</v>
      </c>
      <c r="K574" s="331">
        <f t="shared" si="26"/>
        <v>-1747134</v>
      </c>
      <c r="L574" s="199">
        <v>3.14</v>
      </c>
      <c r="M574" s="199">
        <v>1.48</v>
      </c>
    </row>
    <row r="575" spans="1:13" ht="15" customHeight="1" x14ac:dyDescent="0.25">
      <c r="A575" s="49">
        <v>2013</v>
      </c>
      <c r="B575" s="330" t="s">
        <v>17</v>
      </c>
      <c r="C575" s="331">
        <v>94021326721</v>
      </c>
      <c r="D575" s="331">
        <v>24394926455</v>
      </c>
      <c r="E575" s="331">
        <v>736811188</v>
      </c>
      <c r="F575" s="331">
        <v>526010</v>
      </c>
      <c r="G575" s="370">
        <f t="shared" si="24"/>
        <v>5.5945817650594139E-6</v>
      </c>
      <c r="H575" s="370">
        <f t="shared" si="25"/>
        <v>2.1562270374961045E-5</v>
      </c>
      <c r="I575" s="331">
        <v>6148</v>
      </c>
      <c r="J575" s="331">
        <v>1386950</v>
      </c>
      <c r="K575" s="331">
        <f t="shared" si="26"/>
        <v>-1380802</v>
      </c>
      <c r="L575" s="199">
        <v>3.02</v>
      </c>
      <c r="M575" s="199">
        <v>1.48</v>
      </c>
    </row>
    <row r="576" spans="1:13" ht="15" customHeight="1" x14ac:dyDescent="0.25">
      <c r="A576" s="49">
        <v>2014</v>
      </c>
      <c r="B576" s="330" t="s">
        <v>17</v>
      </c>
      <c r="C576" s="331">
        <v>97784411874</v>
      </c>
      <c r="D576" s="331">
        <v>25112763067</v>
      </c>
      <c r="E576" s="331">
        <v>710669938</v>
      </c>
      <c r="F576" s="331">
        <v>407527</v>
      </c>
      <c r="G576" s="370">
        <f t="shared" si="24"/>
        <v>4.1676070059624484E-6</v>
      </c>
      <c r="H576" s="370">
        <f t="shared" si="25"/>
        <v>1.6227883762242003E-5</v>
      </c>
      <c r="I576" s="331">
        <v>4436</v>
      </c>
      <c r="J576" s="331">
        <v>858403</v>
      </c>
      <c r="K576" s="331">
        <f t="shared" si="26"/>
        <v>-853967</v>
      </c>
      <c r="L576" s="333">
        <v>2.8299153546105487</v>
      </c>
      <c r="M576" s="199">
        <v>1.48</v>
      </c>
    </row>
    <row r="577" spans="1:13" ht="15" customHeight="1" x14ac:dyDescent="0.25">
      <c r="A577" s="49">
        <v>2015</v>
      </c>
      <c r="B577" s="330" t="s">
        <v>17</v>
      </c>
      <c r="C577" s="334">
        <v>102908189000</v>
      </c>
      <c r="D577" s="334">
        <v>25945131000</v>
      </c>
      <c r="E577" s="334">
        <v>656030000</v>
      </c>
      <c r="F577" s="331">
        <v>323850</v>
      </c>
      <c r="G577" s="370">
        <f t="shared" si="24"/>
        <v>3.1469798773739958E-6</v>
      </c>
      <c r="H577" s="370">
        <f t="shared" si="25"/>
        <v>1.2482110805299076E-5</v>
      </c>
      <c r="I577" s="331">
        <v>26645</v>
      </c>
      <c r="J577" s="199">
        <v>0</v>
      </c>
      <c r="K577" s="331">
        <f t="shared" si="26"/>
        <v>26645</v>
      </c>
      <c r="L577" s="199">
        <v>2.5</v>
      </c>
      <c r="M577" s="199">
        <v>1.48</v>
      </c>
    </row>
    <row r="578" spans="1:13" ht="15" customHeight="1" x14ac:dyDescent="0.25">
      <c r="A578" s="49">
        <v>1980</v>
      </c>
      <c r="B578" s="330" t="s">
        <v>18</v>
      </c>
      <c r="C578" s="331">
        <v>9540426405</v>
      </c>
      <c r="D578" s="331">
        <v>4313211600</v>
      </c>
      <c r="E578" s="331">
        <v>80745950</v>
      </c>
      <c r="F578" s="331">
        <v>113832</v>
      </c>
      <c r="G578" s="370">
        <f t="shared" ref="G578:G641" si="27">F578/C578</f>
        <v>1.1931542173035608E-5</v>
      </c>
      <c r="H578" s="370">
        <f t="shared" ref="H578:H641" si="28">F578/D578</f>
        <v>2.6391471264706792E-5</v>
      </c>
      <c r="I578" s="331">
        <v>227951</v>
      </c>
      <c r="J578" s="331">
        <v>0</v>
      </c>
      <c r="K578" s="331">
        <f t="shared" ref="K578:K641" si="29">I578-J578</f>
        <v>227951</v>
      </c>
      <c r="L578" s="199">
        <v>1.87</v>
      </c>
      <c r="M578" s="199">
        <v>1.27</v>
      </c>
    </row>
    <row r="579" spans="1:13" ht="15" customHeight="1" x14ac:dyDescent="0.25">
      <c r="A579" s="49">
        <v>1981</v>
      </c>
      <c r="B579" s="330" t="s">
        <v>18</v>
      </c>
      <c r="C579" s="331">
        <v>10505612063</v>
      </c>
      <c r="D579" s="331">
        <v>4412281295</v>
      </c>
      <c r="E579" s="331">
        <v>85213537</v>
      </c>
      <c r="F579" s="331">
        <v>103779</v>
      </c>
      <c r="G579" s="370">
        <f t="shared" si="27"/>
        <v>9.8784344384371536E-6</v>
      </c>
      <c r="H579" s="370">
        <f t="shared" si="28"/>
        <v>2.3520485903199877E-5</v>
      </c>
      <c r="I579" s="331">
        <v>232332</v>
      </c>
      <c r="J579" s="331">
        <v>0</v>
      </c>
      <c r="K579" s="331">
        <f t="shared" si="29"/>
        <v>232332</v>
      </c>
      <c r="L579" s="199">
        <v>1.93</v>
      </c>
      <c r="M579" s="199">
        <v>1.26</v>
      </c>
    </row>
    <row r="580" spans="1:13" ht="15" customHeight="1" x14ac:dyDescent="0.25">
      <c r="A580" s="49">
        <v>1982</v>
      </c>
      <c r="B580" s="330" t="s">
        <v>18</v>
      </c>
      <c r="C580" s="331">
        <v>10805580552</v>
      </c>
      <c r="D580" s="331">
        <v>4280828485</v>
      </c>
      <c r="E580" s="331">
        <v>101211114</v>
      </c>
      <c r="F580" s="331">
        <v>207251</v>
      </c>
      <c r="G580" s="370">
        <f t="shared" si="27"/>
        <v>1.9179996762102707E-5</v>
      </c>
      <c r="H580" s="370">
        <f t="shared" si="28"/>
        <v>4.8413759328645472E-5</v>
      </c>
      <c r="I580" s="331">
        <v>142188</v>
      </c>
      <c r="J580" s="331">
        <v>0</v>
      </c>
      <c r="K580" s="331">
        <f t="shared" si="29"/>
        <v>142188</v>
      </c>
      <c r="L580" s="199">
        <v>2.36</v>
      </c>
      <c r="M580" s="199">
        <v>1.51</v>
      </c>
    </row>
    <row r="581" spans="1:13" ht="15" customHeight="1" x14ac:dyDescent="0.25">
      <c r="A581" s="49">
        <v>1983</v>
      </c>
      <c r="B581" s="330" t="s">
        <v>18</v>
      </c>
      <c r="C581" s="331">
        <v>11241385736</v>
      </c>
      <c r="D581" s="331">
        <v>4782985990</v>
      </c>
      <c r="E581" s="331">
        <v>159680732</v>
      </c>
      <c r="F581" s="331">
        <v>154528</v>
      </c>
      <c r="G581" s="370">
        <f t="shared" si="27"/>
        <v>1.3746347970707158E-5</v>
      </c>
      <c r="H581" s="370">
        <f t="shared" si="28"/>
        <v>3.2307851271795175E-5</v>
      </c>
      <c r="I581" s="331">
        <v>156097</v>
      </c>
      <c r="J581" s="331">
        <v>0</v>
      </c>
      <c r="K581" s="331">
        <f t="shared" si="29"/>
        <v>156097</v>
      </c>
      <c r="L581" s="199">
        <v>3.34</v>
      </c>
      <c r="M581" s="199">
        <v>1.55</v>
      </c>
    </row>
    <row r="582" spans="1:13" ht="15" customHeight="1" x14ac:dyDescent="0.25">
      <c r="A582" s="49">
        <v>1984</v>
      </c>
      <c r="B582" s="330" t="s">
        <v>18</v>
      </c>
      <c r="C582" s="331">
        <v>14052489826</v>
      </c>
      <c r="D582" s="331">
        <v>7118583752</v>
      </c>
      <c r="E582" s="331">
        <v>163150294</v>
      </c>
      <c r="F582" s="331">
        <v>106375</v>
      </c>
      <c r="G582" s="370">
        <f t="shared" si="27"/>
        <v>7.5698329133947743E-6</v>
      </c>
      <c r="H582" s="370">
        <f t="shared" si="28"/>
        <v>1.4943281375331637E-5</v>
      </c>
      <c r="I582" s="331">
        <v>240825</v>
      </c>
      <c r="J582" s="331">
        <v>0</v>
      </c>
      <c r="K582" s="331">
        <f t="shared" si="29"/>
        <v>240825</v>
      </c>
      <c r="L582" s="199">
        <v>2.29</v>
      </c>
      <c r="M582" s="199">
        <v>1.55</v>
      </c>
    </row>
    <row r="583" spans="1:13" ht="15" customHeight="1" x14ac:dyDescent="0.25">
      <c r="A583" s="49">
        <v>1985</v>
      </c>
      <c r="B583" s="330" t="s">
        <v>18</v>
      </c>
      <c r="C583" s="331">
        <v>14787668698</v>
      </c>
      <c r="D583" s="331">
        <v>7217177117</v>
      </c>
      <c r="E583" s="331">
        <v>155620121</v>
      </c>
      <c r="F583" s="331">
        <v>132238</v>
      </c>
      <c r="G583" s="370">
        <f t="shared" si="27"/>
        <v>8.9424508149742963E-6</v>
      </c>
      <c r="H583" s="370">
        <f t="shared" si="28"/>
        <v>1.8322676284127005E-5</v>
      </c>
      <c r="I583" s="331">
        <v>303041</v>
      </c>
      <c r="J583" s="331">
        <v>0</v>
      </c>
      <c r="K583" s="331">
        <f t="shared" si="29"/>
        <v>303041</v>
      </c>
      <c r="L583" s="199">
        <v>2.16</v>
      </c>
      <c r="M583" s="199">
        <v>1.55</v>
      </c>
    </row>
    <row r="584" spans="1:13" ht="15" customHeight="1" x14ac:dyDescent="0.25">
      <c r="A584" s="49">
        <v>1986</v>
      </c>
      <c r="B584" s="330" t="s">
        <v>18</v>
      </c>
      <c r="C584" s="331">
        <v>15385146480</v>
      </c>
      <c r="D584" s="331">
        <v>7425222871</v>
      </c>
      <c r="E584" s="331">
        <v>148569686</v>
      </c>
      <c r="F584" s="331">
        <v>159104</v>
      </c>
      <c r="G584" s="370">
        <f t="shared" si="27"/>
        <v>1.0341403002358676E-5</v>
      </c>
      <c r="H584" s="370">
        <f t="shared" si="28"/>
        <v>2.1427504973809963E-5</v>
      </c>
      <c r="I584" s="331">
        <v>329753</v>
      </c>
      <c r="J584" s="331">
        <v>0</v>
      </c>
      <c r="K584" s="331">
        <f t="shared" si="29"/>
        <v>329753</v>
      </c>
      <c r="L584" s="199">
        <v>2</v>
      </c>
      <c r="M584" s="199">
        <v>1.55</v>
      </c>
    </row>
    <row r="585" spans="1:13" ht="15" customHeight="1" x14ac:dyDescent="0.25">
      <c r="A585" s="49">
        <v>1987</v>
      </c>
      <c r="B585" s="330" t="s">
        <v>18</v>
      </c>
      <c r="C585" s="331">
        <v>16067596765</v>
      </c>
      <c r="D585" s="331">
        <v>7629265568</v>
      </c>
      <c r="E585" s="331">
        <v>151734998</v>
      </c>
      <c r="F585" s="331">
        <v>155107</v>
      </c>
      <c r="G585" s="370">
        <f t="shared" si="27"/>
        <v>9.653403820655316E-6</v>
      </c>
      <c r="H585" s="370">
        <f t="shared" si="28"/>
        <v>2.033052836049867E-5</v>
      </c>
      <c r="I585" s="331">
        <v>362577</v>
      </c>
      <c r="J585" s="331">
        <v>0</v>
      </c>
      <c r="K585" s="331">
        <f t="shared" si="29"/>
        <v>362577</v>
      </c>
      <c r="L585" s="199">
        <v>1.99</v>
      </c>
      <c r="M585" s="199">
        <v>1.55</v>
      </c>
    </row>
    <row r="586" spans="1:13" ht="15" customHeight="1" x14ac:dyDescent="0.25">
      <c r="A586" s="49">
        <v>1988</v>
      </c>
      <c r="B586" s="330" t="s">
        <v>18</v>
      </c>
      <c r="C586" s="331">
        <v>17010005020</v>
      </c>
      <c r="D586" s="331">
        <v>7982187416</v>
      </c>
      <c r="E586" s="331">
        <v>154275009</v>
      </c>
      <c r="F586" s="331">
        <v>143360</v>
      </c>
      <c r="G586" s="370">
        <f t="shared" si="27"/>
        <v>8.4279810518245226E-6</v>
      </c>
      <c r="H586" s="370">
        <f t="shared" si="28"/>
        <v>1.7959989227093335E-5</v>
      </c>
      <c r="I586" s="331">
        <v>413095</v>
      </c>
      <c r="J586" s="331">
        <v>0</v>
      </c>
      <c r="K586" s="331">
        <f t="shared" si="29"/>
        <v>413095</v>
      </c>
      <c r="L586" s="199">
        <v>1.93</v>
      </c>
      <c r="M586" s="199">
        <v>1.55</v>
      </c>
    </row>
    <row r="587" spans="1:13" ht="15" customHeight="1" x14ac:dyDescent="0.25">
      <c r="A587" s="49">
        <v>1989</v>
      </c>
      <c r="B587" s="330" t="s">
        <v>18</v>
      </c>
      <c r="C587" s="331">
        <v>17786041032</v>
      </c>
      <c r="D587" s="331">
        <v>8296186552</v>
      </c>
      <c r="E587" s="331">
        <v>159163067</v>
      </c>
      <c r="F587" s="331">
        <v>143513</v>
      </c>
      <c r="G587" s="370">
        <f t="shared" si="27"/>
        <v>8.0688557808787578E-6</v>
      </c>
      <c r="H587" s="370">
        <f t="shared" si="28"/>
        <v>1.7298670792956394E-5</v>
      </c>
      <c r="I587" s="331">
        <v>471658</v>
      </c>
      <c r="J587" s="331">
        <v>0</v>
      </c>
      <c r="K587" s="331">
        <f t="shared" si="29"/>
        <v>471658</v>
      </c>
      <c r="L587" s="199">
        <v>1.92</v>
      </c>
      <c r="M587" s="199">
        <v>1.55</v>
      </c>
    </row>
    <row r="588" spans="1:13" ht="15" customHeight="1" x14ac:dyDescent="0.25">
      <c r="A588" s="49">
        <v>1990</v>
      </c>
      <c r="B588" s="330" t="s">
        <v>18</v>
      </c>
      <c r="C588" s="331">
        <v>18912531675</v>
      </c>
      <c r="D588" s="331">
        <v>8680908718</v>
      </c>
      <c r="E588" s="331">
        <v>163945927</v>
      </c>
      <c r="F588" s="331">
        <v>145384</v>
      </c>
      <c r="G588" s="370">
        <f t="shared" si="27"/>
        <v>7.6871781366097834E-6</v>
      </c>
      <c r="H588" s="370">
        <f t="shared" si="28"/>
        <v>1.674755543720256E-5</v>
      </c>
      <c r="I588" s="331">
        <v>538427</v>
      </c>
      <c r="J588" s="331">
        <v>0</v>
      </c>
      <c r="K588" s="331">
        <f t="shared" si="29"/>
        <v>538427</v>
      </c>
      <c r="L588" s="199">
        <v>1.89</v>
      </c>
      <c r="M588" s="199">
        <v>1.55</v>
      </c>
    </row>
    <row r="589" spans="1:13" ht="15" customHeight="1" x14ac:dyDescent="0.25">
      <c r="A589" s="49">
        <v>1991</v>
      </c>
      <c r="B589" s="330" t="s">
        <v>18</v>
      </c>
      <c r="C589" s="331">
        <v>19682837637</v>
      </c>
      <c r="D589" s="331">
        <v>8870649240</v>
      </c>
      <c r="E589" s="331">
        <v>161749629</v>
      </c>
      <c r="F589" s="331">
        <v>177277</v>
      </c>
      <c r="G589" s="370">
        <f t="shared" si="27"/>
        <v>9.0066789793943571E-6</v>
      </c>
      <c r="H589" s="370">
        <f t="shared" si="28"/>
        <v>1.9984670253966664E-5</v>
      </c>
      <c r="I589" s="331">
        <v>571904</v>
      </c>
      <c r="J589" s="331">
        <v>0</v>
      </c>
      <c r="K589" s="331">
        <f t="shared" si="29"/>
        <v>571904</v>
      </c>
      <c r="L589" s="199">
        <v>1.82</v>
      </c>
      <c r="M589" s="199">
        <v>1.53</v>
      </c>
    </row>
    <row r="590" spans="1:13" ht="15" customHeight="1" x14ac:dyDescent="0.25">
      <c r="A590" s="49">
        <v>1992</v>
      </c>
      <c r="B590" s="330" t="s">
        <v>18</v>
      </c>
      <c r="C590" s="331">
        <v>20975863283</v>
      </c>
      <c r="D590" s="331">
        <v>9183723922</v>
      </c>
      <c r="E590" s="331">
        <v>170147428</v>
      </c>
      <c r="F590" s="331">
        <v>181487</v>
      </c>
      <c r="G590" s="370">
        <f t="shared" si="27"/>
        <v>8.6521826325540125E-6</v>
      </c>
      <c r="H590" s="370">
        <f t="shared" si="28"/>
        <v>1.9761809211755613E-5</v>
      </c>
      <c r="I590" s="331">
        <v>605827</v>
      </c>
      <c r="J590" s="331">
        <v>0</v>
      </c>
      <c r="K590" s="331">
        <f t="shared" si="29"/>
        <v>605827</v>
      </c>
      <c r="L590" s="199">
        <v>1.85</v>
      </c>
      <c r="M590" s="199">
        <v>1.53</v>
      </c>
    </row>
    <row r="591" spans="1:13" ht="15" customHeight="1" x14ac:dyDescent="0.25">
      <c r="A591" s="49">
        <v>1993</v>
      </c>
      <c r="B591" s="330" t="s">
        <v>18</v>
      </c>
      <c r="C591" s="331">
        <v>21734805651</v>
      </c>
      <c r="D591" s="331">
        <v>9526622444</v>
      </c>
      <c r="E591" s="331">
        <v>176210757</v>
      </c>
      <c r="F591" s="331">
        <v>168641</v>
      </c>
      <c r="G591" s="370">
        <f t="shared" si="27"/>
        <v>7.7590295817639841E-6</v>
      </c>
      <c r="H591" s="370">
        <f t="shared" si="28"/>
        <v>1.7702076574495975E-5</v>
      </c>
      <c r="I591" s="331">
        <v>658053</v>
      </c>
      <c r="J591" s="331">
        <v>0</v>
      </c>
      <c r="K591" s="331">
        <f t="shared" si="29"/>
        <v>658053</v>
      </c>
      <c r="L591" s="199">
        <v>1.85</v>
      </c>
      <c r="M591" s="199">
        <v>1.53</v>
      </c>
    </row>
    <row r="592" spans="1:13" ht="15" customHeight="1" x14ac:dyDescent="0.25">
      <c r="A592" s="49">
        <v>1994</v>
      </c>
      <c r="B592" s="330" t="s">
        <v>18</v>
      </c>
      <c r="C592" s="331">
        <v>22960106751</v>
      </c>
      <c r="D592" s="331">
        <v>10003471098</v>
      </c>
      <c r="E592" s="331">
        <v>173436913</v>
      </c>
      <c r="F592" s="331">
        <v>143579</v>
      </c>
      <c r="G592" s="370">
        <f t="shared" si="27"/>
        <v>6.2534116917268511E-6</v>
      </c>
      <c r="H592" s="370">
        <f t="shared" si="28"/>
        <v>1.4352917961516961E-5</v>
      </c>
      <c r="I592" s="331">
        <v>735717</v>
      </c>
      <c r="J592" s="331">
        <v>0</v>
      </c>
      <c r="K592" s="331">
        <f t="shared" si="29"/>
        <v>735717</v>
      </c>
      <c r="L592" s="199">
        <v>1.73</v>
      </c>
      <c r="M592" s="199">
        <v>1.53</v>
      </c>
    </row>
    <row r="593" spans="1:13" ht="15" customHeight="1" x14ac:dyDescent="0.25">
      <c r="A593" s="49">
        <v>1995</v>
      </c>
      <c r="B593" s="330" t="s">
        <v>18</v>
      </c>
      <c r="C593" s="331">
        <v>24463035186</v>
      </c>
      <c r="D593" s="331">
        <v>10424817145</v>
      </c>
      <c r="E593" s="331">
        <v>38637247</v>
      </c>
      <c r="F593" s="331">
        <v>137277</v>
      </c>
      <c r="G593" s="370">
        <f t="shared" si="27"/>
        <v>5.6116094734868607E-6</v>
      </c>
      <c r="H593" s="370">
        <f t="shared" si="28"/>
        <v>1.316828852636916E-5</v>
      </c>
      <c r="I593" s="331">
        <v>704008</v>
      </c>
      <c r="J593" s="331">
        <v>0</v>
      </c>
      <c r="K593" s="331">
        <f t="shared" si="29"/>
        <v>704008</v>
      </c>
      <c r="L593" s="199">
        <v>0.37</v>
      </c>
      <c r="M593" s="199">
        <v>1.53</v>
      </c>
    </row>
    <row r="594" spans="1:13" ht="15" customHeight="1" x14ac:dyDescent="0.25">
      <c r="A594" s="49">
        <v>1996</v>
      </c>
      <c r="B594" s="330" t="s">
        <v>18</v>
      </c>
      <c r="C594" s="331">
        <v>26160895869</v>
      </c>
      <c r="D594" s="331">
        <v>10888508722</v>
      </c>
      <c r="E594" s="331">
        <v>32349031</v>
      </c>
      <c r="F594" s="331">
        <v>113911</v>
      </c>
      <c r="G594" s="370">
        <f t="shared" si="27"/>
        <v>4.3542469099837538E-6</v>
      </c>
      <c r="H594" s="370">
        <f t="shared" si="28"/>
        <v>1.0461579533829573E-5</v>
      </c>
      <c r="I594" s="331">
        <v>651074</v>
      </c>
      <c r="J594" s="331">
        <v>0</v>
      </c>
      <c r="K594" s="331">
        <f t="shared" si="29"/>
        <v>651074</v>
      </c>
      <c r="L594" s="199">
        <v>0.3</v>
      </c>
      <c r="M594" s="199">
        <v>1.53</v>
      </c>
    </row>
    <row r="595" spans="1:13" ht="15" customHeight="1" x14ac:dyDescent="0.25">
      <c r="A595" s="49">
        <v>1997</v>
      </c>
      <c r="B595" s="330" t="s">
        <v>18</v>
      </c>
      <c r="C595" s="331">
        <v>28446628892</v>
      </c>
      <c r="D595" s="331">
        <v>11542416926</v>
      </c>
      <c r="E595" s="331">
        <v>35644530</v>
      </c>
      <c r="F595" s="331">
        <v>101705</v>
      </c>
      <c r="G595" s="370">
        <f t="shared" si="27"/>
        <v>3.5752918346188407E-6</v>
      </c>
      <c r="H595" s="370">
        <f t="shared" si="28"/>
        <v>8.8114127788005364E-6</v>
      </c>
      <c r="I595" s="331">
        <v>606735</v>
      </c>
      <c r="J595" s="331">
        <v>0</v>
      </c>
      <c r="K595" s="331">
        <f t="shared" si="29"/>
        <v>606735</v>
      </c>
      <c r="L595" s="199">
        <v>0.31</v>
      </c>
      <c r="M595" s="199">
        <v>1.53</v>
      </c>
    </row>
    <row r="596" spans="1:13" x14ac:dyDescent="0.25">
      <c r="A596" s="49">
        <v>1998</v>
      </c>
      <c r="B596" s="330" t="s">
        <v>18</v>
      </c>
      <c r="C596" s="331">
        <v>30853453120</v>
      </c>
      <c r="D596" s="331">
        <v>12092712889</v>
      </c>
      <c r="E596" s="331">
        <v>38737275</v>
      </c>
      <c r="F596" s="331">
        <v>117277</v>
      </c>
      <c r="G596" s="370">
        <f t="shared" si="27"/>
        <v>3.8010980341120406E-6</v>
      </c>
      <c r="H596" s="370">
        <f t="shared" si="28"/>
        <v>9.6981546718668647E-6</v>
      </c>
      <c r="I596" s="331">
        <v>558253</v>
      </c>
      <c r="J596" s="331">
        <v>0</v>
      </c>
      <c r="K596" s="331">
        <f t="shared" si="29"/>
        <v>558253</v>
      </c>
      <c r="L596" s="199">
        <v>0.32</v>
      </c>
      <c r="M596" s="199">
        <v>1.53</v>
      </c>
    </row>
    <row r="597" spans="1:13" ht="15" customHeight="1" x14ac:dyDescent="0.25">
      <c r="A597" s="49">
        <v>1999</v>
      </c>
      <c r="B597" s="330" t="s">
        <v>18</v>
      </c>
      <c r="C597" s="331">
        <v>32734803632</v>
      </c>
      <c r="D597" s="331">
        <v>12554695160</v>
      </c>
      <c r="E597" s="331">
        <v>41480427</v>
      </c>
      <c r="F597" s="331">
        <v>139221</v>
      </c>
      <c r="G597" s="370">
        <f t="shared" si="27"/>
        <v>4.252996338853981E-6</v>
      </c>
      <c r="H597" s="370">
        <f t="shared" si="28"/>
        <v>1.1089158137711407E-5</v>
      </c>
      <c r="I597" s="331">
        <v>468205</v>
      </c>
      <c r="J597" s="331">
        <v>0</v>
      </c>
      <c r="K597" s="331">
        <f t="shared" si="29"/>
        <v>468205</v>
      </c>
      <c r="L597" s="199">
        <v>0.33</v>
      </c>
      <c r="M597" s="199">
        <v>1.53</v>
      </c>
    </row>
    <row r="598" spans="1:13" ht="15" customHeight="1" x14ac:dyDescent="0.25">
      <c r="A598" s="49">
        <v>2000</v>
      </c>
      <c r="B598" s="330" t="s">
        <v>18</v>
      </c>
      <c r="C598" s="331">
        <v>34653013886</v>
      </c>
      <c r="D598" s="331">
        <v>13065935852</v>
      </c>
      <c r="E598" s="331">
        <v>147981769</v>
      </c>
      <c r="F598" s="331">
        <v>153878</v>
      </c>
      <c r="G598" s="370">
        <f t="shared" si="27"/>
        <v>4.4405372792745025E-6</v>
      </c>
      <c r="H598" s="370">
        <f t="shared" si="28"/>
        <v>1.1777036237051931E-5</v>
      </c>
      <c r="I598" s="331">
        <v>495977</v>
      </c>
      <c r="J598" s="331">
        <v>0</v>
      </c>
      <c r="K598" s="331">
        <f t="shared" si="29"/>
        <v>495977</v>
      </c>
      <c r="L598" s="199">
        <v>1.1299999999999999</v>
      </c>
      <c r="M598" s="199">
        <v>1.53</v>
      </c>
    </row>
    <row r="599" spans="1:13" ht="15" customHeight="1" x14ac:dyDescent="0.25">
      <c r="A599" s="49">
        <v>2001</v>
      </c>
      <c r="B599" s="330" t="s">
        <v>18</v>
      </c>
      <c r="C599" s="331">
        <v>35720309728</v>
      </c>
      <c r="D599" s="331">
        <v>13186835556</v>
      </c>
      <c r="E599" s="331">
        <v>173577470</v>
      </c>
      <c r="F599" s="331">
        <v>215264</v>
      </c>
      <c r="G599" s="370">
        <f t="shared" si="27"/>
        <v>6.0263755168746896E-6</v>
      </c>
      <c r="H599" s="370">
        <f t="shared" si="28"/>
        <v>1.632415897550607E-5</v>
      </c>
      <c r="I599" s="331">
        <v>473684</v>
      </c>
      <c r="J599" s="331">
        <v>0</v>
      </c>
      <c r="K599" s="331">
        <f t="shared" si="29"/>
        <v>473684</v>
      </c>
      <c r="L599" s="199">
        <v>1.32</v>
      </c>
      <c r="M599" s="199">
        <v>1.46</v>
      </c>
    </row>
    <row r="600" spans="1:13" ht="15" customHeight="1" x14ac:dyDescent="0.25">
      <c r="A600" s="49">
        <v>2002</v>
      </c>
      <c r="B600" s="330" t="s">
        <v>18</v>
      </c>
      <c r="C600" s="331">
        <v>35881480745</v>
      </c>
      <c r="D600" s="331">
        <v>13167412763</v>
      </c>
      <c r="E600" s="331">
        <v>185782468</v>
      </c>
      <c r="F600" s="331">
        <v>318659</v>
      </c>
      <c r="G600" s="370">
        <f t="shared" si="27"/>
        <v>8.8808765241497011E-6</v>
      </c>
      <c r="H600" s="370">
        <f t="shared" si="28"/>
        <v>2.4200578028162175E-5</v>
      </c>
      <c r="I600" s="331">
        <v>415955</v>
      </c>
      <c r="J600" s="331">
        <v>0</v>
      </c>
      <c r="K600" s="331">
        <f t="shared" si="29"/>
        <v>415955</v>
      </c>
      <c r="L600" s="199">
        <v>1.41</v>
      </c>
      <c r="M600" s="199">
        <v>1.46</v>
      </c>
    </row>
    <row r="601" spans="1:13" ht="15" customHeight="1" x14ac:dyDescent="0.25">
      <c r="A601" s="49">
        <v>2003</v>
      </c>
      <c r="B601" s="330" t="s">
        <v>18</v>
      </c>
      <c r="C601" s="331">
        <v>36084577625</v>
      </c>
      <c r="D601" s="331">
        <v>13057799176</v>
      </c>
      <c r="E601" s="331">
        <v>233353321</v>
      </c>
      <c r="F601" s="331">
        <v>316897</v>
      </c>
      <c r="G601" s="370">
        <f t="shared" si="27"/>
        <v>8.7820620569062293E-6</v>
      </c>
      <c r="H601" s="370">
        <f t="shared" si="28"/>
        <v>2.4268791067215292E-5</v>
      </c>
      <c r="I601" s="331">
        <v>293884</v>
      </c>
      <c r="J601" s="331">
        <v>0</v>
      </c>
      <c r="K601" s="331">
        <f t="shared" si="29"/>
        <v>293884</v>
      </c>
      <c r="L601" s="199">
        <v>1.79</v>
      </c>
      <c r="M601" s="199">
        <v>1.46</v>
      </c>
    </row>
    <row r="602" spans="1:13" ht="15" customHeight="1" x14ac:dyDescent="0.25">
      <c r="A602" s="49">
        <v>2004</v>
      </c>
      <c r="B602" s="330" t="s">
        <v>18</v>
      </c>
      <c r="C602" s="331">
        <v>37789738312</v>
      </c>
      <c r="D602" s="331">
        <v>13393961117</v>
      </c>
      <c r="E602" s="331">
        <v>311860534</v>
      </c>
      <c r="F602" s="331">
        <v>222919</v>
      </c>
      <c r="G602" s="370">
        <f t="shared" si="27"/>
        <v>5.8989294437430077E-6</v>
      </c>
      <c r="H602" s="370">
        <f t="shared" si="28"/>
        <v>1.6643246762682085E-5</v>
      </c>
      <c r="I602" s="331">
        <v>327094</v>
      </c>
      <c r="J602" s="331">
        <v>0</v>
      </c>
      <c r="K602" s="331">
        <f t="shared" si="29"/>
        <v>327094</v>
      </c>
      <c r="L602" s="199">
        <v>2.33</v>
      </c>
      <c r="M602" s="199">
        <v>1.46</v>
      </c>
    </row>
    <row r="603" spans="1:13" ht="15" customHeight="1" x14ac:dyDescent="0.25">
      <c r="A603" s="49">
        <v>2005</v>
      </c>
      <c r="B603" s="330" t="s">
        <v>18</v>
      </c>
      <c r="C603" s="331">
        <v>39510608899</v>
      </c>
      <c r="D603" s="331">
        <v>13807341580</v>
      </c>
      <c r="E603" s="331">
        <v>346910619</v>
      </c>
      <c r="F603" s="331">
        <v>199977</v>
      </c>
      <c r="G603" s="370">
        <f t="shared" si="27"/>
        <v>5.0613494849243227E-6</v>
      </c>
      <c r="H603" s="370">
        <f t="shared" si="28"/>
        <v>1.4483381818384767E-5</v>
      </c>
      <c r="I603" s="331">
        <v>453519</v>
      </c>
      <c r="J603" s="331">
        <v>0</v>
      </c>
      <c r="K603" s="331">
        <f t="shared" si="29"/>
        <v>453519</v>
      </c>
      <c r="L603" s="199">
        <v>2.5099999999999998</v>
      </c>
      <c r="M603" s="199">
        <v>1.46</v>
      </c>
    </row>
    <row r="604" spans="1:13" ht="15" customHeight="1" x14ac:dyDescent="0.25">
      <c r="A604" s="49">
        <v>2006</v>
      </c>
      <c r="B604" s="330" t="s">
        <v>18</v>
      </c>
      <c r="C604" s="331">
        <v>42397283437</v>
      </c>
      <c r="D604" s="331">
        <v>14403237211</v>
      </c>
      <c r="E604" s="331">
        <v>328727383</v>
      </c>
      <c r="F604" s="331">
        <v>167077</v>
      </c>
      <c r="G604" s="370">
        <f t="shared" si="27"/>
        <v>3.9407477662635417E-6</v>
      </c>
      <c r="H604" s="370">
        <f t="shared" si="28"/>
        <v>1.1599961699749028E-5</v>
      </c>
      <c r="I604" s="331">
        <v>603853</v>
      </c>
      <c r="J604" s="331">
        <v>0</v>
      </c>
      <c r="K604" s="331">
        <f t="shared" si="29"/>
        <v>603853</v>
      </c>
      <c r="L604" s="199">
        <v>2.2799999999999998</v>
      </c>
      <c r="M604" s="199">
        <v>1.46</v>
      </c>
    </row>
    <row r="605" spans="1:13" ht="15" customHeight="1" x14ac:dyDescent="0.25">
      <c r="A605" s="49">
        <v>2007</v>
      </c>
      <c r="B605" s="330" t="s">
        <v>18</v>
      </c>
      <c r="C605" s="331">
        <v>45019497085</v>
      </c>
      <c r="D605" s="331">
        <v>14969143084</v>
      </c>
      <c r="E605" s="331">
        <v>216992119</v>
      </c>
      <c r="F605" s="331">
        <v>177673</v>
      </c>
      <c r="G605" s="370">
        <f t="shared" si="27"/>
        <v>3.9465789603233637E-6</v>
      </c>
      <c r="H605" s="370">
        <f t="shared" si="28"/>
        <v>1.1869283298514831E-5</v>
      </c>
      <c r="I605" s="331">
        <v>637983</v>
      </c>
      <c r="J605" s="331">
        <v>0</v>
      </c>
      <c r="K605" s="331">
        <f t="shared" si="29"/>
        <v>637983</v>
      </c>
      <c r="L605" s="199">
        <v>1.45</v>
      </c>
      <c r="M605" s="199">
        <v>1.46</v>
      </c>
    </row>
    <row r="606" spans="1:13" ht="15" customHeight="1" x14ac:dyDescent="0.25">
      <c r="A606" s="49">
        <v>2008</v>
      </c>
      <c r="B606" s="330" t="s">
        <v>18</v>
      </c>
      <c r="C606" s="331">
        <v>46627925830</v>
      </c>
      <c r="D606" s="331">
        <v>15359540287</v>
      </c>
      <c r="E606" s="331">
        <v>217879607</v>
      </c>
      <c r="F606" s="331">
        <v>259545</v>
      </c>
      <c r="G606" s="370">
        <f t="shared" si="27"/>
        <v>5.5662994949908537E-6</v>
      </c>
      <c r="H606" s="370">
        <f t="shared" si="28"/>
        <v>1.689796668066124E-5</v>
      </c>
      <c r="I606" s="331">
        <v>566419</v>
      </c>
      <c r="J606" s="331">
        <v>0</v>
      </c>
      <c r="K606" s="331">
        <f t="shared" si="29"/>
        <v>566419</v>
      </c>
      <c r="L606" s="199">
        <v>1.4</v>
      </c>
      <c r="M606" s="199">
        <v>1.46</v>
      </c>
    </row>
    <row r="607" spans="1:13" ht="15" customHeight="1" x14ac:dyDescent="0.25">
      <c r="A607" s="49">
        <v>2009</v>
      </c>
      <c r="B607" s="330" t="s">
        <v>18</v>
      </c>
      <c r="C607" s="331">
        <v>44467711119</v>
      </c>
      <c r="D607" s="331">
        <v>14862259118</v>
      </c>
      <c r="E607" s="331">
        <v>203693320</v>
      </c>
      <c r="F607" s="331">
        <v>650657</v>
      </c>
      <c r="G607" s="370">
        <f t="shared" si="27"/>
        <v>1.4632122581231523E-5</v>
      </c>
      <c r="H607" s="370">
        <f t="shared" si="28"/>
        <v>4.3779145204915409E-5</v>
      </c>
      <c r="I607" s="331">
        <v>119794</v>
      </c>
      <c r="J607" s="331">
        <v>0</v>
      </c>
      <c r="K607" s="331">
        <f t="shared" si="29"/>
        <v>119794</v>
      </c>
      <c r="L607" s="199">
        <v>1.4</v>
      </c>
      <c r="M607" s="199">
        <v>1.08</v>
      </c>
    </row>
    <row r="608" spans="1:13" ht="15" customHeight="1" x14ac:dyDescent="0.25">
      <c r="A608" s="49">
        <v>2010</v>
      </c>
      <c r="B608" s="330" t="s">
        <v>18</v>
      </c>
      <c r="C608" s="331">
        <v>44566593358</v>
      </c>
      <c r="D608" s="331">
        <v>14735626618</v>
      </c>
      <c r="E608" s="331">
        <v>372510789</v>
      </c>
      <c r="F608" s="331">
        <v>424999</v>
      </c>
      <c r="G608" s="370">
        <f t="shared" si="27"/>
        <v>9.5362684911995828E-6</v>
      </c>
      <c r="H608" s="370">
        <f t="shared" si="28"/>
        <v>2.8841596697411649E-5</v>
      </c>
      <c r="I608" s="331">
        <v>43444</v>
      </c>
      <c r="J608" s="331">
        <v>88159</v>
      </c>
      <c r="K608" s="331">
        <f t="shared" si="29"/>
        <v>-44715</v>
      </c>
      <c r="L608" s="199">
        <v>2.5</v>
      </c>
      <c r="M608" s="199">
        <v>1.1000000000000001</v>
      </c>
    </row>
    <row r="609" spans="1:13" ht="15" customHeight="1" x14ac:dyDescent="0.25">
      <c r="A609" s="49">
        <v>2011</v>
      </c>
      <c r="B609" s="330" t="s">
        <v>18</v>
      </c>
      <c r="C609" s="331">
        <v>45997560875</v>
      </c>
      <c r="D609" s="331">
        <v>14911701441</v>
      </c>
      <c r="E609" s="331">
        <v>397019087</v>
      </c>
      <c r="F609" s="331">
        <v>312053</v>
      </c>
      <c r="G609" s="370">
        <f t="shared" si="27"/>
        <v>6.7841205938726858E-6</v>
      </c>
      <c r="H609" s="370">
        <f t="shared" si="28"/>
        <v>2.0926719947732086E-5</v>
      </c>
      <c r="I609" s="331">
        <v>16150</v>
      </c>
      <c r="J609" s="331">
        <v>63047</v>
      </c>
      <c r="K609" s="331">
        <f t="shared" si="29"/>
        <v>-46897</v>
      </c>
      <c r="L609" s="199">
        <v>2.7</v>
      </c>
      <c r="M609" s="199">
        <v>1.1000000000000001</v>
      </c>
    </row>
    <row r="610" spans="1:13" ht="15" customHeight="1" x14ac:dyDescent="0.25">
      <c r="A610" s="49">
        <v>2012</v>
      </c>
      <c r="B610" s="330" t="s">
        <v>18</v>
      </c>
      <c r="C610" s="331">
        <v>48086947010</v>
      </c>
      <c r="D610" s="331">
        <v>15270151729</v>
      </c>
      <c r="E610" s="331">
        <v>416005048</v>
      </c>
      <c r="F610" s="331">
        <v>273938</v>
      </c>
      <c r="G610" s="370">
        <f t="shared" si="27"/>
        <v>5.6967226458155639E-6</v>
      </c>
      <c r="H610" s="370">
        <f t="shared" si="28"/>
        <v>1.7939441916595771E-5</v>
      </c>
      <c r="I610" s="331">
        <v>44094</v>
      </c>
      <c r="J610" s="331">
        <v>0</v>
      </c>
      <c r="K610" s="331">
        <f t="shared" si="29"/>
        <v>44094</v>
      </c>
      <c r="L610" s="199">
        <v>2.72</v>
      </c>
      <c r="M610" s="199">
        <v>1.1000000000000001</v>
      </c>
    </row>
    <row r="611" spans="1:13" ht="15" customHeight="1" x14ac:dyDescent="0.25">
      <c r="A611" s="49">
        <v>2013</v>
      </c>
      <c r="B611" s="330" t="s">
        <v>18</v>
      </c>
      <c r="C611" s="331">
        <v>49446532595</v>
      </c>
      <c r="D611" s="331">
        <v>15695796891</v>
      </c>
      <c r="E611" s="331">
        <v>421349180</v>
      </c>
      <c r="F611" s="331">
        <v>247955</v>
      </c>
      <c r="G611" s="370">
        <f t="shared" si="27"/>
        <v>5.0146084464792798E-6</v>
      </c>
      <c r="H611" s="370">
        <f t="shared" si="28"/>
        <v>1.5797541324083894E-5</v>
      </c>
      <c r="I611" s="331">
        <v>99480</v>
      </c>
      <c r="J611" s="331">
        <v>0</v>
      </c>
      <c r="K611" s="331">
        <f t="shared" si="29"/>
        <v>99480</v>
      </c>
      <c r="L611" s="199">
        <v>2.68</v>
      </c>
      <c r="M611" s="199">
        <v>1.1000000000000001</v>
      </c>
    </row>
    <row r="612" spans="1:13" ht="15" customHeight="1" x14ac:dyDescent="0.25">
      <c r="A612" s="49">
        <v>2014</v>
      </c>
      <c r="B612" s="330" t="s">
        <v>18</v>
      </c>
      <c r="C612" s="331">
        <v>51648383992</v>
      </c>
      <c r="D612" s="331">
        <v>16069196268</v>
      </c>
      <c r="E612" s="331">
        <v>375537873</v>
      </c>
      <c r="F612" s="331">
        <v>197679</v>
      </c>
      <c r="G612" s="370">
        <f t="shared" si="27"/>
        <v>3.8273995180685463E-6</v>
      </c>
      <c r="H612" s="370">
        <f t="shared" si="28"/>
        <v>1.2301735363930772E-5</v>
      </c>
      <c r="I612" s="331">
        <v>218683</v>
      </c>
      <c r="J612" s="331">
        <v>0</v>
      </c>
      <c r="K612" s="331">
        <f t="shared" si="29"/>
        <v>218683</v>
      </c>
      <c r="L612" s="333">
        <v>2.3370047060028853</v>
      </c>
      <c r="M612" s="199">
        <v>1.1000000000000001</v>
      </c>
    </row>
    <row r="613" spans="1:13" ht="15" customHeight="1" x14ac:dyDescent="0.25">
      <c r="A613" s="49">
        <v>2015</v>
      </c>
      <c r="B613" s="330" t="s">
        <v>18</v>
      </c>
      <c r="C613" s="334">
        <v>53420031000</v>
      </c>
      <c r="D613" s="334">
        <v>20049624000</v>
      </c>
      <c r="E613" s="334">
        <v>455042000</v>
      </c>
      <c r="F613" s="331">
        <v>182793</v>
      </c>
      <c r="G613" s="370">
        <f t="shared" si="27"/>
        <v>3.4218063257956553E-6</v>
      </c>
      <c r="H613" s="370">
        <f t="shared" si="28"/>
        <v>9.1170288280717887E-6</v>
      </c>
      <c r="I613" s="331">
        <v>456523</v>
      </c>
      <c r="J613" s="199">
        <v>0</v>
      </c>
      <c r="K613" s="331">
        <f t="shared" si="29"/>
        <v>456523</v>
      </c>
      <c r="L613" s="199">
        <v>2.2999999999999998</v>
      </c>
      <c r="M613" s="199">
        <v>1.1100000000000001</v>
      </c>
    </row>
    <row r="614" spans="1:13" ht="15" customHeight="1" x14ac:dyDescent="0.25">
      <c r="A614" s="49">
        <v>1980</v>
      </c>
      <c r="B614" s="330" t="s">
        <v>19</v>
      </c>
      <c r="C614" s="331">
        <v>12268344531</v>
      </c>
      <c r="D614" s="331">
        <v>5524189624</v>
      </c>
      <c r="E614" s="331">
        <v>145771251</v>
      </c>
      <c r="F614" s="331">
        <v>255589</v>
      </c>
      <c r="G614" s="370">
        <f t="shared" si="27"/>
        <v>2.0833210165737561E-5</v>
      </c>
      <c r="H614" s="370">
        <f t="shared" si="28"/>
        <v>4.6267238707662438E-5</v>
      </c>
      <c r="I614" s="331">
        <v>35712</v>
      </c>
      <c r="J614" s="331">
        <v>0</v>
      </c>
      <c r="K614" s="331">
        <f t="shared" si="29"/>
        <v>35712</v>
      </c>
      <c r="L614" s="199">
        <v>2.64</v>
      </c>
      <c r="M614" s="199">
        <v>2.12</v>
      </c>
    </row>
    <row r="615" spans="1:13" ht="15" customHeight="1" x14ac:dyDescent="0.25">
      <c r="A615" s="49">
        <v>1981</v>
      </c>
      <c r="B615" s="330" t="s">
        <v>19</v>
      </c>
      <c r="C615" s="331">
        <v>13313666102</v>
      </c>
      <c r="D615" s="331">
        <v>5624239034</v>
      </c>
      <c r="E615" s="331">
        <v>185726980</v>
      </c>
      <c r="F615" s="331">
        <v>219005</v>
      </c>
      <c r="G615" s="370">
        <f t="shared" si="27"/>
        <v>1.6449638914040419E-5</v>
      </c>
      <c r="H615" s="370">
        <f t="shared" si="28"/>
        <v>3.8939490067199726E-5</v>
      </c>
      <c r="I615" s="331">
        <v>43846</v>
      </c>
      <c r="J615" s="331">
        <v>52121</v>
      </c>
      <c r="K615" s="331">
        <f t="shared" si="29"/>
        <v>-8275</v>
      </c>
      <c r="L615" s="199">
        <v>3.3</v>
      </c>
      <c r="M615" s="199">
        <v>2.04</v>
      </c>
    </row>
    <row r="616" spans="1:13" ht="15" customHeight="1" x14ac:dyDescent="0.25">
      <c r="A616" s="49">
        <v>1982</v>
      </c>
      <c r="B616" s="330" t="s">
        <v>19</v>
      </c>
      <c r="C616" s="331">
        <v>13524939935</v>
      </c>
      <c r="D616" s="331">
        <v>6693740074</v>
      </c>
      <c r="E616" s="331">
        <v>237701120</v>
      </c>
      <c r="F616" s="331">
        <v>327474</v>
      </c>
      <c r="G616" s="370">
        <f t="shared" si="27"/>
        <v>2.4212602907947777E-5</v>
      </c>
      <c r="H616" s="370">
        <f t="shared" si="28"/>
        <v>4.8922425487058134E-5</v>
      </c>
      <c r="I616" s="331">
        <v>0</v>
      </c>
      <c r="J616" s="331">
        <v>121396</v>
      </c>
      <c r="K616" s="331">
        <f t="shared" si="29"/>
        <v>-121396</v>
      </c>
      <c r="L616" s="199">
        <v>3.55</v>
      </c>
      <c r="M616" s="199">
        <v>2.29</v>
      </c>
    </row>
    <row r="617" spans="1:13" ht="15" customHeight="1" x14ac:dyDescent="0.25">
      <c r="A617" s="49">
        <v>1983</v>
      </c>
      <c r="B617" s="330" t="s">
        <v>19</v>
      </c>
      <c r="C617" s="331">
        <v>13829742168</v>
      </c>
      <c r="D617" s="331">
        <v>6682009718</v>
      </c>
      <c r="E617" s="331">
        <v>245909628</v>
      </c>
      <c r="F617" s="331">
        <v>261881</v>
      </c>
      <c r="G617" s="370">
        <f t="shared" si="27"/>
        <v>1.8936072474724389E-5</v>
      </c>
      <c r="H617" s="370">
        <f t="shared" si="28"/>
        <v>3.919195138171453E-5</v>
      </c>
      <c r="I617" s="331">
        <v>40</v>
      </c>
      <c r="J617" s="331">
        <v>150568</v>
      </c>
      <c r="K617" s="331">
        <f t="shared" si="29"/>
        <v>-150528</v>
      </c>
      <c r="L617" s="199">
        <v>3.68</v>
      </c>
      <c r="M617" s="199">
        <v>2.29</v>
      </c>
    </row>
    <row r="618" spans="1:13" ht="15" customHeight="1" x14ac:dyDescent="0.25">
      <c r="A618" s="49">
        <v>1984</v>
      </c>
      <c r="B618" s="330" t="s">
        <v>19</v>
      </c>
      <c r="C618" s="331">
        <v>15235450016</v>
      </c>
      <c r="D618" s="331">
        <v>7055786410</v>
      </c>
      <c r="E618" s="331">
        <v>272714396</v>
      </c>
      <c r="F618" s="331">
        <v>153135</v>
      </c>
      <c r="G618" s="370">
        <f t="shared" si="27"/>
        <v>1.0051229195014282E-5</v>
      </c>
      <c r="H618" s="370">
        <f t="shared" si="28"/>
        <v>2.1703463101287389E-5</v>
      </c>
      <c r="I618" s="331">
        <v>27</v>
      </c>
      <c r="J618" s="331">
        <v>11067</v>
      </c>
      <c r="K618" s="331">
        <f t="shared" si="29"/>
        <v>-11040</v>
      </c>
      <c r="L618" s="199">
        <v>3.87</v>
      </c>
      <c r="M618" s="199">
        <v>2.29</v>
      </c>
    </row>
    <row r="619" spans="1:13" ht="15" customHeight="1" x14ac:dyDescent="0.25">
      <c r="A619" s="49">
        <v>1985</v>
      </c>
      <c r="B619" s="330" t="s">
        <v>19</v>
      </c>
      <c r="C619" s="331">
        <v>15992558541</v>
      </c>
      <c r="D619" s="331">
        <v>7241125151</v>
      </c>
      <c r="E619" s="331">
        <v>251771916</v>
      </c>
      <c r="F619" s="331">
        <v>170728</v>
      </c>
      <c r="G619" s="370">
        <f t="shared" si="27"/>
        <v>1.0675465064724067E-5</v>
      </c>
      <c r="H619" s="370">
        <f t="shared" si="28"/>
        <v>2.3577551339023943E-5</v>
      </c>
      <c r="I619" s="331">
        <v>78732</v>
      </c>
      <c r="J619" s="331">
        <v>0</v>
      </c>
      <c r="K619" s="331">
        <f t="shared" si="29"/>
        <v>78732</v>
      </c>
      <c r="L619" s="199">
        <v>3.48</v>
      </c>
      <c r="M619" s="199">
        <v>2.29</v>
      </c>
    </row>
    <row r="620" spans="1:13" ht="15" customHeight="1" x14ac:dyDescent="0.25">
      <c r="A620" s="49">
        <v>1986</v>
      </c>
      <c r="B620" s="330" t="s">
        <v>19</v>
      </c>
      <c r="C620" s="331">
        <v>16684089039</v>
      </c>
      <c r="D620" s="331">
        <v>7390061679</v>
      </c>
      <c r="E620" s="331">
        <v>237763764</v>
      </c>
      <c r="F620" s="331">
        <v>177005</v>
      </c>
      <c r="G620" s="370">
        <f t="shared" si="27"/>
        <v>1.0609209743860802E-5</v>
      </c>
      <c r="H620" s="370">
        <f t="shared" si="28"/>
        <v>2.3951762202876737E-5</v>
      </c>
      <c r="I620" s="331">
        <v>151174</v>
      </c>
      <c r="J620" s="331">
        <v>0</v>
      </c>
      <c r="K620" s="331">
        <f t="shared" si="29"/>
        <v>151174</v>
      </c>
      <c r="L620" s="199">
        <v>3.22</v>
      </c>
      <c r="M620" s="199">
        <v>2.29</v>
      </c>
    </row>
    <row r="621" spans="1:13" ht="15" customHeight="1" x14ac:dyDescent="0.25">
      <c r="A621" s="49">
        <v>1987</v>
      </c>
      <c r="B621" s="330" t="s">
        <v>19</v>
      </c>
      <c r="C621" s="331">
        <v>18049629856</v>
      </c>
      <c r="D621" s="331">
        <v>7774873574</v>
      </c>
      <c r="E621" s="331">
        <v>218915607</v>
      </c>
      <c r="F621" s="331">
        <v>136149</v>
      </c>
      <c r="G621" s="370">
        <f t="shared" si="27"/>
        <v>7.5430355683854532E-6</v>
      </c>
      <c r="H621" s="370">
        <f t="shared" si="28"/>
        <v>1.7511410147593482E-5</v>
      </c>
      <c r="I621" s="331">
        <v>251483</v>
      </c>
      <c r="J621" s="331">
        <v>0</v>
      </c>
      <c r="K621" s="331">
        <f t="shared" si="29"/>
        <v>251483</v>
      </c>
      <c r="L621" s="199">
        <v>2.82</v>
      </c>
      <c r="M621" s="199">
        <v>2.29</v>
      </c>
    </row>
    <row r="622" spans="1:13" ht="15" customHeight="1" x14ac:dyDescent="0.25">
      <c r="A622" s="49">
        <v>1988</v>
      </c>
      <c r="B622" s="330" t="s">
        <v>19</v>
      </c>
      <c r="C622" s="331">
        <v>19371692221</v>
      </c>
      <c r="D622" s="331">
        <v>8142675425</v>
      </c>
      <c r="E622" s="331">
        <v>199671924</v>
      </c>
      <c r="F622" s="331">
        <v>143388</v>
      </c>
      <c r="G622" s="370">
        <f t="shared" si="27"/>
        <v>7.4019346562072348E-6</v>
      </c>
      <c r="H622" s="370">
        <f t="shared" si="28"/>
        <v>1.7609445607983323E-5</v>
      </c>
      <c r="I622" s="331">
        <v>333643</v>
      </c>
      <c r="J622" s="331">
        <v>0</v>
      </c>
      <c r="K622" s="331">
        <f t="shared" si="29"/>
        <v>333643</v>
      </c>
      <c r="L622" s="199">
        <v>2.4500000000000002</v>
      </c>
      <c r="M622" s="199">
        <v>2.29</v>
      </c>
    </row>
    <row r="623" spans="1:13" ht="15" customHeight="1" x14ac:dyDescent="0.25">
      <c r="A623" s="49">
        <v>1989</v>
      </c>
      <c r="B623" s="330" t="s">
        <v>19</v>
      </c>
      <c r="C623" s="331">
        <v>20559417461</v>
      </c>
      <c r="D623" s="331">
        <v>8490379291</v>
      </c>
      <c r="E623" s="331">
        <v>180888586</v>
      </c>
      <c r="F623" s="331">
        <v>154580</v>
      </c>
      <c r="G623" s="370">
        <f t="shared" si="27"/>
        <v>7.5186955220511051E-6</v>
      </c>
      <c r="H623" s="370">
        <f t="shared" si="28"/>
        <v>1.8206489333622398E-5</v>
      </c>
      <c r="I623" s="331">
        <v>393375</v>
      </c>
      <c r="J623" s="331">
        <v>0</v>
      </c>
      <c r="K623" s="331">
        <f t="shared" si="29"/>
        <v>393375</v>
      </c>
      <c r="L623" s="199">
        <v>2.13</v>
      </c>
      <c r="M623" s="199">
        <v>2.29</v>
      </c>
    </row>
    <row r="624" spans="1:13" ht="15" customHeight="1" x14ac:dyDescent="0.25">
      <c r="A624" s="49">
        <v>1990</v>
      </c>
      <c r="B624" s="330" t="s">
        <v>19</v>
      </c>
      <c r="C624" s="331">
        <v>22075704087</v>
      </c>
      <c r="D624" s="331">
        <v>8785036499</v>
      </c>
      <c r="E624" s="331">
        <v>171952204</v>
      </c>
      <c r="F624" s="331">
        <v>186720</v>
      </c>
      <c r="G624" s="370">
        <f t="shared" si="27"/>
        <v>8.458167370976683E-6</v>
      </c>
      <c r="H624" s="370">
        <f t="shared" si="28"/>
        <v>2.1254322622479066E-5</v>
      </c>
      <c r="I624" s="331">
        <v>413910</v>
      </c>
      <c r="J624" s="331">
        <v>0</v>
      </c>
      <c r="K624" s="331">
        <f t="shared" si="29"/>
        <v>413910</v>
      </c>
      <c r="L624" s="199">
        <v>1.96</v>
      </c>
      <c r="M624" s="199">
        <v>2.29</v>
      </c>
    </row>
    <row r="625" spans="1:13" ht="15" customHeight="1" x14ac:dyDescent="0.25">
      <c r="A625" s="49">
        <v>1991</v>
      </c>
      <c r="B625" s="330" t="s">
        <v>19</v>
      </c>
      <c r="C625" s="331">
        <v>22623250979</v>
      </c>
      <c r="D625" s="331">
        <v>8840603987</v>
      </c>
      <c r="E625" s="331">
        <v>176186030</v>
      </c>
      <c r="F625" s="331">
        <v>263861</v>
      </c>
      <c r="G625" s="370">
        <f t="shared" si="27"/>
        <v>1.1663266267298568E-5</v>
      </c>
      <c r="H625" s="370">
        <f t="shared" si="28"/>
        <v>2.9846490170581599E-5</v>
      </c>
      <c r="I625" s="331">
        <v>357940</v>
      </c>
      <c r="J625" s="331">
        <v>0</v>
      </c>
      <c r="K625" s="331">
        <f t="shared" si="29"/>
        <v>357940</v>
      </c>
      <c r="L625" s="199">
        <v>1.99</v>
      </c>
      <c r="M625" s="199">
        <v>2.29</v>
      </c>
    </row>
    <row r="626" spans="1:13" ht="15" customHeight="1" x14ac:dyDescent="0.25">
      <c r="A626" s="49">
        <v>1992</v>
      </c>
      <c r="B626" s="330" t="s">
        <v>19</v>
      </c>
      <c r="C626" s="331">
        <v>24450941092</v>
      </c>
      <c r="D626" s="331">
        <v>9149164200</v>
      </c>
      <c r="E626" s="331">
        <v>200306637</v>
      </c>
      <c r="F626" s="331">
        <v>215715</v>
      </c>
      <c r="G626" s="370">
        <f t="shared" si="27"/>
        <v>8.8223598097244154E-6</v>
      </c>
      <c r="H626" s="370">
        <f t="shared" si="28"/>
        <v>2.3577563511211219E-5</v>
      </c>
      <c r="I626" s="331">
        <v>364287</v>
      </c>
      <c r="J626" s="331">
        <v>0</v>
      </c>
      <c r="K626" s="331">
        <f t="shared" si="29"/>
        <v>364287</v>
      </c>
      <c r="L626" s="199">
        <v>2.19</v>
      </c>
      <c r="M626" s="199">
        <v>2.29</v>
      </c>
    </row>
    <row r="627" spans="1:13" ht="15" customHeight="1" x14ac:dyDescent="0.25">
      <c r="A627" s="49">
        <v>1993</v>
      </c>
      <c r="B627" s="330" t="s">
        <v>19</v>
      </c>
      <c r="C627" s="331">
        <v>25689263606</v>
      </c>
      <c r="D627" s="331">
        <v>9572793360</v>
      </c>
      <c r="E627" s="331">
        <v>205063145</v>
      </c>
      <c r="F627" s="331">
        <v>198401</v>
      </c>
      <c r="G627" s="370">
        <f t="shared" si="27"/>
        <v>7.7231096633560704E-6</v>
      </c>
      <c r="H627" s="370">
        <f t="shared" si="28"/>
        <v>2.0725507439554716E-5</v>
      </c>
      <c r="I627" s="331">
        <v>402311</v>
      </c>
      <c r="J627" s="331">
        <v>0</v>
      </c>
      <c r="K627" s="331">
        <f t="shared" si="29"/>
        <v>402311</v>
      </c>
      <c r="L627" s="199">
        <v>2.14</v>
      </c>
      <c r="M627" s="199">
        <v>2.29</v>
      </c>
    </row>
    <row r="628" spans="1:13" ht="15" customHeight="1" x14ac:dyDescent="0.25">
      <c r="A628" s="49">
        <v>1994</v>
      </c>
      <c r="B628" s="330" t="s">
        <v>19</v>
      </c>
      <c r="C628" s="331">
        <v>27494323437</v>
      </c>
      <c r="D628" s="331">
        <v>10077589846</v>
      </c>
      <c r="E628" s="331">
        <v>215036194</v>
      </c>
      <c r="F628" s="331">
        <v>215362</v>
      </c>
      <c r="G628" s="370">
        <f t="shared" si="27"/>
        <v>7.832962338334189E-6</v>
      </c>
      <c r="H628" s="370">
        <f t="shared" si="28"/>
        <v>2.1370387492549278E-5</v>
      </c>
      <c r="I628" s="331">
        <v>425682</v>
      </c>
      <c r="J628" s="331">
        <v>0</v>
      </c>
      <c r="K628" s="331">
        <f t="shared" si="29"/>
        <v>425682</v>
      </c>
      <c r="L628" s="199">
        <v>2.13</v>
      </c>
      <c r="M628" s="199">
        <v>2.29</v>
      </c>
    </row>
    <row r="629" spans="1:13" ht="15" customHeight="1" x14ac:dyDescent="0.25">
      <c r="A629" s="49">
        <v>1995</v>
      </c>
      <c r="B629" s="330" t="s">
        <v>19</v>
      </c>
      <c r="C629" s="331">
        <v>29283285883</v>
      </c>
      <c r="D629" s="331">
        <v>10518781606</v>
      </c>
      <c r="E629" s="331">
        <v>220183045</v>
      </c>
      <c r="F629" s="331">
        <v>211389</v>
      </c>
      <c r="G629" s="370">
        <f t="shared" si="27"/>
        <v>7.2187595628644571E-6</v>
      </c>
      <c r="H629" s="370">
        <f t="shared" si="28"/>
        <v>2.0096338902922177E-5</v>
      </c>
      <c r="I629" s="331">
        <v>470826</v>
      </c>
      <c r="J629" s="331">
        <v>0</v>
      </c>
      <c r="K629" s="331">
        <f t="shared" si="29"/>
        <v>470826</v>
      </c>
      <c r="L629" s="199">
        <v>2.09</v>
      </c>
      <c r="M629" s="199">
        <v>2.2599999999999998</v>
      </c>
    </row>
    <row r="630" spans="1:13" ht="15" customHeight="1" x14ac:dyDescent="0.25">
      <c r="A630" s="49">
        <v>1996</v>
      </c>
      <c r="B630" s="330" t="s">
        <v>19</v>
      </c>
      <c r="C630" s="331">
        <v>31095059135</v>
      </c>
      <c r="D630" s="331">
        <v>10845684402</v>
      </c>
      <c r="E630" s="331">
        <v>223603295</v>
      </c>
      <c r="F630" s="331">
        <v>220931</v>
      </c>
      <c r="G630" s="370">
        <f t="shared" si="27"/>
        <v>7.1050194515090762E-6</v>
      </c>
      <c r="H630" s="370">
        <f t="shared" si="28"/>
        <v>2.0370406496362663E-5</v>
      </c>
      <c r="I630" s="331">
        <v>501304</v>
      </c>
      <c r="J630" s="331">
        <v>0</v>
      </c>
      <c r="K630" s="331">
        <f t="shared" si="29"/>
        <v>501304</v>
      </c>
      <c r="L630" s="199">
        <v>2.06</v>
      </c>
      <c r="M630" s="199">
        <v>2.2599999999999998</v>
      </c>
    </row>
    <row r="631" spans="1:13" x14ac:dyDescent="0.25">
      <c r="A631" s="49">
        <v>1997</v>
      </c>
      <c r="B631" s="330" t="s">
        <v>19</v>
      </c>
      <c r="C631" s="331">
        <v>33521110995</v>
      </c>
      <c r="D631" s="331">
        <v>11348372846</v>
      </c>
      <c r="E631" s="331">
        <v>240534744</v>
      </c>
      <c r="F631" s="331">
        <v>214411</v>
      </c>
      <c r="G631" s="370">
        <f t="shared" si="27"/>
        <v>6.3962975461040506E-6</v>
      </c>
      <c r="H631" s="370">
        <f t="shared" si="28"/>
        <v>1.8893545613067707E-5</v>
      </c>
      <c r="I631" s="331">
        <v>571366</v>
      </c>
      <c r="J631" s="331">
        <v>0</v>
      </c>
      <c r="K631" s="331">
        <f t="shared" si="29"/>
        <v>571366</v>
      </c>
      <c r="L631" s="199">
        <v>2.12</v>
      </c>
      <c r="M631" s="199">
        <v>2.2599999999999998</v>
      </c>
    </row>
    <row r="632" spans="1:13" ht="15" customHeight="1" x14ac:dyDescent="0.25">
      <c r="A632" s="49">
        <v>1998</v>
      </c>
      <c r="B632" s="330" t="s">
        <v>19</v>
      </c>
      <c r="C632" s="331">
        <v>35932646595</v>
      </c>
      <c r="D632" s="331">
        <v>11827123404</v>
      </c>
      <c r="E632" s="331">
        <v>246113940</v>
      </c>
      <c r="F632" s="331">
        <v>211130</v>
      </c>
      <c r="G632" s="370">
        <f t="shared" si="27"/>
        <v>5.8757152619361634E-6</v>
      </c>
      <c r="H632" s="370">
        <f t="shared" si="28"/>
        <v>1.7851339906421764E-5</v>
      </c>
      <c r="I632" s="331">
        <v>639269</v>
      </c>
      <c r="J632" s="331">
        <v>0</v>
      </c>
      <c r="K632" s="331">
        <f t="shared" si="29"/>
        <v>639269</v>
      </c>
      <c r="L632" s="199">
        <v>2.08</v>
      </c>
      <c r="M632" s="199">
        <v>2.2599999999999998</v>
      </c>
    </row>
    <row r="633" spans="1:13" ht="15" customHeight="1" x14ac:dyDescent="0.25">
      <c r="A633" s="49">
        <v>1999</v>
      </c>
      <c r="B633" s="330" t="s">
        <v>19</v>
      </c>
      <c r="C633" s="331">
        <v>38211001906</v>
      </c>
      <c r="D633" s="331">
        <v>12266750099</v>
      </c>
      <c r="E633" s="331">
        <v>225276890</v>
      </c>
      <c r="F633" s="331">
        <v>230951</v>
      </c>
      <c r="G633" s="370">
        <f t="shared" si="27"/>
        <v>6.0440969479979906E-6</v>
      </c>
      <c r="H633" s="370">
        <f t="shared" si="28"/>
        <v>1.8827399118437035E-5</v>
      </c>
      <c r="I633" s="331">
        <v>678494</v>
      </c>
      <c r="J633" s="331">
        <v>0</v>
      </c>
      <c r="K633" s="331">
        <f t="shared" si="29"/>
        <v>678494</v>
      </c>
      <c r="L633" s="199">
        <v>1.84</v>
      </c>
      <c r="M633" s="199">
        <v>2.2599999999999998</v>
      </c>
    </row>
    <row r="634" spans="1:13" ht="15" customHeight="1" x14ac:dyDescent="0.25">
      <c r="A634" s="49">
        <v>2000</v>
      </c>
      <c r="B634" s="330" t="s">
        <v>19</v>
      </c>
      <c r="C634" s="331">
        <v>40425651372</v>
      </c>
      <c r="D634" s="331">
        <v>12702910618</v>
      </c>
      <c r="E634" s="331">
        <v>236832570</v>
      </c>
      <c r="F634" s="331">
        <v>263128</v>
      </c>
      <c r="G634" s="370">
        <f t="shared" si="27"/>
        <v>6.5089365556209745E-6</v>
      </c>
      <c r="H634" s="370">
        <f t="shared" si="28"/>
        <v>2.0713992872401079E-5</v>
      </c>
      <c r="I634" s="331">
        <v>700183</v>
      </c>
      <c r="J634" s="331">
        <v>0</v>
      </c>
      <c r="K634" s="331">
        <f t="shared" si="29"/>
        <v>700183</v>
      </c>
      <c r="L634" s="199">
        <v>1.86</v>
      </c>
      <c r="M634" s="199">
        <v>2.2599999999999998</v>
      </c>
    </row>
    <row r="635" spans="1:13" ht="15" customHeight="1" x14ac:dyDescent="0.25">
      <c r="A635" s="49">
        <v>2001</v>
      </c>
      <c r="B635" s="330" t="s">
        <v>19</v>
      </c>
      <c r="C635" s="331">
        <v>41044555986</v>
      </c>
      <c r="D635" s="331">
        <v>12367321867</v>
      </c>
      <c r="E635" s="331">
        <v>203644217</v>
      </c>
      <c r="F635" s="331">
        <v>403449</v>
      </c>
      <c r="G635" s="370">
        <f t="shared" si="27"/>
        <v>9.82953744554122E-6</v>
      </c>
      <c r="H635" s="370">
        <f t="shared" si="28"/>
        <v>3.2622179994888948E-5</v>
      </c>
      <c r="I635" s="331">
        <v>544307</v>
      </c>
      <c r="J635" s="331">
        <v>0</v>
      </c>
      <c r="K635" s="331">
        <f t="shared" si="29"/>
        <v>544307</v>
      </c>
      <c r="L635" s="199">
        <v>1.65</v>
      </c>
      <c r="M635" s="199">
        <v>2.11</v>
      </c>
    </row>
    <row r="636" spans="1:13" ht="15" customHeight="1" x14ac:dyDescent="0.25">
      <c r="A636" s="49">
        <v>2002</v>
      </c>
      <c r="B636" s="330" t="s">
        <v>19</v>
      </c>
      <c r="C636" s="331">
        <v>41372412292</v>
      </c>
      <c r="D636" s="331">
        <v>12203271044</v>
      </c>
      <c r="E636" s="331">
        <v>271229483</v>
      </c>
      <c r="F636" s="331">
        <v>488739</v>
      </c>
      <c r="G636" s="370">
        <f t="shared" si="27"/>
        <v>1.1813161788840273E-5</v>
      </c>
      <c r="H636" s="370">
        <f t="shared" si="28"/>
        <v>4.0049835674206303E-5</v>
      </c>
      <c r="I636" s="331">
        <v>488426</v>
      </c>
      <c r="J636" s="331">
        <v>0</v>
      </c>
      <c r="K636" s="331">
        <f t="shared" si="29"/>
        <v>488426</v>
      </c>
      <c r="L636" s="199">
        <v>2.2200000000000002</v>
      </c>
      <c r="M636" s="199">
        <v>2.11</v>
      </c>
    </row>
    <row r="637" spans="1:13" ht="15" customHeight="1" x14ac:dyDescent="0.25">
      <c r="A637" s="49">
        <v>2003</v>
      </c>
      <c r="B637" s="330" t="s">
        <v>19</v>
      </c>
      <c r="C637" s="331">
        <v>42355833645</v>
      </c>
      <c r="D637" s="331">
        <v>12072083501</v>
      </c>
      <c r="E637" s="331">
        <v>283683089</v>
      </c>
      <c r="F637" s="331">
        <v>448012</v>
      </c>
      <c r="G637" s="370">
        <f t="shared" si="27"/>
        <v>1.0577338738152464E-5</v>
      </c>
      <c r="H637" s="370">
        <f t="shared" si="28"/>
        <v>3.7111406656762156E-5</v>
      </c>
      <c r="I637" s="331">
        <v>340062</v>
      </c>
      <c r="J637" s="331">
        <v>0</v>
      </c>
      <c r="K637" s="331">
        <f t="shared" si="29"/>
        <v>340062</v>
      </c>
      <c r="L637" s="199">
        <v>2.35</v>
      </c>
      <c r="M637" s="199">
        <v>2.11</v>
      </c>
    </row>
    <row r="638" spans="1:13" ht="15" customHeight="1" x14ac:dyDescent="0.25">
      <c r="A638" s="49">
        <v>2004</v>
      </c>
      <c r="B638" s="330" t="s">
        <v>19</v>
      </c>
      <c r="C638" s="331">
        <v>44556567413</v>
      </c>
      <c r="D638" s="331">
        <v>12334027544</v>
      </c>
      <c r="E638" s="331">
        <v>317658966</v>
      </c>
      <c r="F638" s="331">
        <v>400490</v>
      </c>
      <c r="G638" s="370">
        <f t="shared" si="27"/>
        <v>8.9883494903862696E-6</v>
      </c>
      <c r="H638" s="370">
        <f t="shared" si="28"/>
        <v>3.2470334493036058E-5</v>
      </c>
      <c r="I638" s="331">
        <v>266952</v>
      </c>
      <c r="J638" s="331">
        <v>0</v>
      </c>
      <c r="K638" s="331">
        <f t="shared" si="29"/>
        <v>266952</v>
      </c>
      <c r="L638" s="199">
        <v>2.58</v>
      </c>
      <c r="M638" s="199">
        <v>2.11</v>
      </c>
    </row>
    <row r="639" spans="1:13" ht="15" customHeight="1" x14ac:dyDescent="0.25">
      <c r="A639" s="49">
        <v>2005</v>
      </c>
      <c r="B639" s="330" t="s">
        <v>19</v>
      </c>
      <c r="C639" s="331">
        <v>46400962379</v>
      </c>
      <c r="D639" s="331">
        <v>12653442953</v>
      </c>
      <c r="E639" s="331">
        <v>352286400</v>
      </c>
      <c r="F639" s="331">
        <v>361104</v>
      </c>
      <c r="G639" s="370">
        <f t="shared" si="27"/>
        <v>7.7822523819770448E-6</v>
      </c>
      <c r="H639" s="370">
        <f t="shared" si="28"/>
        <v>2.8538003556920133E-5</v>
      </c>
      <c r="I639" s="331">
        <v>264630</v>
      </c>
      <c r="J639" s="331">
        <v>0</v>
      </c>
      <c r="K639" s="331">
        <f t="shared" si="29"/>
        <v>264630</v>
      </c>
      <c r="L639" s="199">
        <v>2.78</v>
      </c>
      <c r="M639" s="199">
        <v>2.11</v>
      </c>
    </row>
    <row r="640" spans="1:13" ht="15" customHeight="1" x14ac:dyDescent="0.25">
      <c r="A640" s="49">
        <v>2006</v>
      </c>
      <c r="B640" s="330" t="s">
        <v>19</v>
      </c>
      <c r="C640" s="331">
        <v>48639092100</v>
      </c>
      <c r="D640" s="331">
        <v>12921104243</v>
      </c>
      <c r="E640" s="331">
        <v>348143292</v>
      </c>
      <c r="F640" s="331">
        <v>365488</v>
      </c>
      <c r="G640" s="370">
        <f t="shared" si="27"/>
        <v>7.5142849962859401E-6</v>
      </c>
      <c r="H640" s="370">
        <f t="shared" si="28"/>
        <v>2.8286127340703323E-5</v>
      </c>
      <c r="I640" s="331">
        <v>263919</v>
      </c>
      <c r="J640" s="331">
        <v>0</v>
      </c>
      <c r="K640" s="331">
        <f t="shared" si="29"/>
        <v>263919</v>
      </c>
      <c r="L640" s="199">
        <v>2.69</v>
      </c>
      <c r="M640" s="199">
        <v>2.11</v>
      </c>
    </row>
    <row r="641" spans="1:13" ht="15" customHeight="1" x14ac:dyDescent="0.25">
      <c r="A641" s="49">
        <v>2007</v>
      </c>
      <c r="B641" s="330" t="s">
        <v>19</v>
      </c>
      <c r="C641" s="331">
        <v>50980237739</v>
      </c>
      <c r="D641" s="331">
        <v>13106375822</v>
      </c>
      <c r="E641" s="331">
        <v>345524315</v>
      </c>
      <c r="F641" s="331">
        <v>392868</v>
      </c>
      <c r="G641" s="370">
        <f t="shared" si="27"/>
        <v>7.7062802651360539E-6</v>
      </c>
      <c r="H641" s="370">
        <f t="shared" si="28"/>
        <v>2.9975334549810682E-5</v>
      </c>
      <c r="I641" s="331">
        <v>230766</v>
      </c>
      <c r="J641" s="331">
        <v>0</v>
      </c>
      <c r="K641" s="331">
        <f t="shared" si="29"/>
        <v>230766</v>
      </c>
      <c r="L641" s="199">
        <v>2.64</v>
      </c>
      <c r="M641" s="199">
        <v>2.11</v>
      </c>
    </row>
    <row r="642" spans="1:13" ht="15" customHeight="1" x14ac:dyDescent="0.25">
      <c r="A642" s="49">
        <v>2008</v>
      </c>
      <c r="B642" s="330" t="s">
        <v>19</v>
      </c>
      <c r="C642" s="331">
        <v>51540891329</v>
      </c>
      <c r="D642" s="331">
        <v>12957245783</v>
      </c>
      <c r="E642" s="331">
        <v>365406619</v>
      </c>
      <c r="F642" s="331">
        <v>539390</v>
      </c>
      <c r="G642" s="370">
        <f t="shared" ref="G642:G705" si="30">F642/C642</f>
        <v>1.0465282731664883E-5</v>
      </c>
      <c r="H642" s="370">
        <f t="shared" ref="H642:H705" si="31">F642/D642</f>
        <v>4.1628445507121857E-5</v>
      </c>
      <c r="I642" s="331">
        <v>81861</v>
      </c>
      <c r="J642" s="331">
        <v>0</v>
      </c>
      <c r="K642" s="331">
        <f t="shared" ref="K642:K705" si="32">I642-J642</f>
        <v>81861</v>
      </c>
      <c r="L642" s="199">
        <v>2.8</v>
      </c>
      <c r="M642" s="199">
        <v>2.11</v>
      </c>
    </row>
    <row r="643" spans="1:13" ht="15" customHeight="1" x14ac:dyDescent="0.25">
      <c r="A643" s="49">
        <v>2009</v>
      </c>
      <c r="B643" s="330" t="s">
        <v>19</v>
      </c>
      <c r="C643" s="331">
        <v>48989172578</v>
      </c>
      <c r="D643" s="331">
        <v>12280846699</v>
      </c>
      <c r="E643" s="331">
        <v>376446533</v>
      </c>
      <c r="F643" s="331">
        <v>1041755</v>
      </c>
      <c r="G643" s="370">
        <f t="shared" si="30"/>
        <v>2.1265005003734847E-5</v>
      </c>
      <c r="H643" s="370">
        <f t="shared" si="31"/>
        <v>8.4827620239313596E-5</v>
      </c>
      <c r="I643" s="331">
        <v>10437</v>
      </c>
      <c r="J643" s="331">
        <v>576700</v>
      </c>
      <c r="K643" s="331">
        <f t="shared" si="32"/>
        <v>-566263</v>
      </c>
      <c r="L643" s="199">
        <v>3.1</v>
      </c>
      <c r="M643" s="199">
        <v>1.49</v>
      </c>
    </row>
    <row r="644" spans="1:13" ht="15" customHeight="1" x14ac:dyDescent="0.25">
      <c r="A644" s="49">
        <v>2010</v>
      </c>
      <c r="B644" s="330" t="s">
        <v>19</v>
      </c>
      <c r="C644" s="331">
        <v>49746869099</v>
      </c>
      <c r="D644" s="331">
        <v>12250498985</v>
      </c>
      <c r="E644" s="331">
        <v>429389850</v>
      </c>
      <c r="F644" s="331">
        <v>654741</v>
      </c>
      <c r="G644" s="370">
        <f t="shared" si="30"/>
        <v>1.316145140103222E-5</v>
      </c>
      <c r="H644" s="370">
        <f t="shared" si="31"/>
        <v>5.3446067854190348E-5</v>
      </c>
      <c r="I644" s="331">
        <v>9144</v>
      </c>
      <c r="J644" s="331">
        <v>804700</v>
      </c>
      <c r="K644" s="331">
        <f t="shared" si="32"/>
        <v>-795556</v>
      </c>
      <c r="L644" s="199">
        <v>3.5</v>
      </c>
      <c r="M644" s="199">
        <v>1.54</v>
      </c>
    </row>
    <row r="645" spans="1:13" ht="15" customHeight="1" x14ac:dyDescent="0.25">
      <c r="A645" s="49">
        <v>2011</v>
      </c>
      <c r="B645" s="330" t="s">
        <v>19</v>
      </c>
      <c r="C645" s="331">
        <v>51730275542</v>
      </c>
      <c r="D645" s="331">
        <v>12521573070</v>
      </c>
      <c r="E645" s="331">
        <v>443946250</v>
      </c>
      <c r="F645" s="331">
        <v>518772</v>
      </c>
      <c r="G645" s="370">
        <f t="shared" si="30"/>
        <v>1.002840202501545E-5</v>
      </c>
      <c r="H645" s="370">
        <f t="shared" si="31"/>
        <v>4.1430257771917474E-5</v>
      </c>
      <c r="I645" s="331">
        <v>67988</v>
      </c>
      <c r="J645" s="331">
        <v>948700</v>
      </c>
      <c r="K645" s="331">
        <f t="shared" si="32"/>
        <v>-880712</v>
      </c>
      <c r="L645" s="199">
        <v>3.5</v>
      </c>
      <c r="M645" s="199">
        <v>1.54</v>
      </c>
    </row>
    <row r="646" spans="1:13" ht="15" customHeight="1" x14ac:dyDescent="0.25">
      <c r="A646" s="49">
        <v>2012</v>
      </c>
      <c r="B646" s="330" t="s">
        <v>19</v>
      </c>
      <c r="C646" s="331">
        <v>54038548057</v>
      </c>
      <c r="D646" s="331">
        <v>14052255589</v>
      </c>
      <c r="E646" s="331">
        <v>491822408</v>
      </c>
      <c r="F646" s="331">
        <v>443308</v>
      </c>
      <c r="G646" s="370">
        <f t="shared" si="30"/>
        <v>8.2035512784762013E-6</v>
      </c>
      <c r="H646" s="370">
        <f t="shared" si="31"/>
        <v>3.1547106241578626E-5</v>
      </c>
      <c r="I646" s="331">
        <v>40606</v>
      </c>
      <c r="J646" s="331">
        <v>837665</v>
      </c>
      <c r="K646" s="331">
        <f t="shared" si="32"/>
        <v>-797059</v>
      </c>
      <c r="L646" s="199">
        <v>3.5</v>
      </c>
      <c r="M646" s="199">
        <v>1.54</v>
      </c>
    </row>
    <row r="647" spans="1:13" ht="15" customHeight="1" x14ac:dyDescent="0.25">
      <c r="A647" s="49">
        <v>2013</v>
      </c>
      <c r="B647" s="330" t="s">
        <v>19</v>
      </c>
      <c r="C647" s="331">
        <v>55426418067</v>
      </c>
      <c r="D647" s="331">
        <v>14515433508</v>
      </c>
      <c r="E647" s="331">
        <v>495202395</v>
      </c>
      <c r="F647" s="331">
        <v>407518</v>
      </c>
      <c r="G647" s="370">
        <f t="shared" si="30"/>
        <v>7.3524145021853702E-6</v>
      </c>
      <c r="H647" s="370">
        <f t="shared" si="31"/>
        <v>2.8074807395549126E-5</v>
      </c>
      <c r="I647" s="331">
        <v>0</v>
      </c>
      <c r="J647" s="331">
        <v>639788</v>
      </c>
      <c r="K647" s="331">
        <f t="shared" si="32"/>
        <v>-639788</v>
      </c>
      <c r="L647" s="199">
        <v>3.41</v>
      </c>
      <c r="M647" s="199">
        <v>1.54</v>
      </c>
    </row>
    <row r="648" spans="1:13" ht="15" customHeight="1" x14ac:dyDescent="0.25">
      <c r="A648" s="49">
        <v>2014</v>
      </c>
      <c r="B648" s="330" t="s">
        <v>19</v>
      </c>
      <c r="C648" s="331">
        <v>58280990487</v>
      </c>
      <c r="D648" s="331">
        <v>15584547920</v>
      </c>
      <c r="E648" s="331">
        <v>511934143</v>
      </c>
      <c r="F648" s="331">
        <v>334230</v>
      </c>
      <c r="G648" s="370">
        <f t="shared" si="30"/>
        <v>5.734803015651432E-6</v>
      </c>
      <c r="H648" s="370">
        <f t="shared" si="31"/>
        <v>2.1446242888513638E-5</v>
      </c>
      <c r="I648" s="331">
        <v>0</v>
      </c>
      <c r="J648" s="331">
        <v>361502</v>
      </c>
      <c r="K648" s="331">
        <f t="shared" si="32"/>
        <v>-361502</v>
      </c>
      <c r="L648" s="333">
        <v>3.2848828572243889</v>
      </c>
      <c r="M648" s="199">
        <v>1.54</v>
      </c>
    </row>
    <row r="649" spans="1:13" ht="15" customHeight="1" x14ac:dyDescent="0.25">
      <c r="A649" s="49">
        <v>2015</v>
      </c>
      <c r="B649" s="330" t="s">
        <v>19</v>
      </c>
      <c r="C649" s="334">
        <v>61531571000</v>
      </c>
      <c r="D649" s="334">
        <v>16605287000</v>
      </c>
      <c r="E649" s="334">
        <v>527740000</v>
      </c>
      <c r="F649" s="331">
        <v>278841</v>
      </c>
      <c r="G649" s="370">
        <f t="shared" si="30"/>
        <v>4.531673667165105E-6</v>
      </c>
      <c r="H649" s="370">
        <f t="shared" si="31"/>
        <v>1.6792302355267933E-5</v>
      </c>
      <c r="I649" s="331">
        <v>3501</v>
      </c>
      <c r="J649" s="199">
        <v>0</v>
      </c>
      <c r="K649" s="331">
        <f t="shared" si="32"/>
        <v>3501</v>
      </c>
      <c r="L649" s="199">
        <v>3.2</v>
      </c>
      <c r="M649" s="199">
        <v>1.54</v>
      </c>
    </row>
    <row r="650" spans="1:13" ht="15" customHeight="1" x14ac:dyDescent="0.25">
      <c r="A650" s="49">
        <v>1980</v>
      </c>
      <c r="B650" s="330" t="s">
        <v>20</v>
      </c>
      <c r="C650" s="331">
        <v>18341190366</v>
      </c>
      <c r="D650" s="331">
        <v>8278099279</v>
      </c>
      <c r="E650" s="331">
        <v>162088835</v>
      </c>
      <c r="F650" s="331">
        <v>207890</v>
      </c>
      <c r="G650" s="370">
        <f t="shared" si="30"/>
        <v>1.1334596929181669E-5</v>
      </c>
      <c r="H650" s="370">
        <f t="shared" si="31"/>
        <v>2.5113252812439482E-5</v>
      </c>
      <c r="I650" s="331">
        <v>223131</v>
      </c>
      <c r="J650" s="331">
        <v>0</v>
      </c>
      <c r="K650" s="331">
        <f t="shared" si="32"/>
        <v>223131</v>
      </c>
      <c r="L650" s="199">
        <v>1.96</v>
      </c>
      <c r="M650" s="199">
        <v>1.53</v>
      </c>
    </row>
    <row r="651" spans="1:13" ht="15" customHeight="1" x14ac:dyDescent="0.25">
      <c r="A651" s="49">
        <v>1981</v>
      </c>
      <c r="B651" s="330" t="s">
        <v>20</v>
      </c>
      <c r="C651" s="331">
        <v>21254740865</v>
      </c>
      <c r="D651" s="331">
        <v>8892996658</v>
      </c>
      <c r="E651" s="331">
        <v>179397431</v>
      </c>
      <c r="F651" s="331">
        <v>226155</v>
      </c>
      <c r="G651" s="370">
        <f t="shared" si="30"/>
        <v>1.0640214408466748E-5</v>
      </c>
      <c r="H651" s="370">
        <f t="shared" si="31"/>
        <v>2.5430685369318623E-5</v>
      </c>
      <c r="I651" s="331">
        <v>210409</v>
      </c>
      <c r="J651" s="331">
        <v>0</v>
      </c>
      <c r="K651" s="331">
        <f t="shared" si="32"/>
        <v>210409</v>
      </c>
      <c r="L651" s="199">
        <v>2.02</v>
      </c>
      <c r="M651" s="199">
        <v>1.33</v>
      </c>
    </row>
    <row r="652" spans="1:13" ht="15" customHeight="1" x14ac:dyDescent="0.25">
      <c r="A652" s="49">
        <v>1982</v>
      </c>
      <c r="B652" s="330" t="s">
        <v>20</v>
      </c>
      <c r="C652" s="331">
        <v>21637823318</v>
      </c>
      <c r="D652" s="331">
        <v>8227287873</v>
      </c>
      <c r="E652" s="331">
        <v>163968403</v>
      </c>
      <c r="F652" s="331">
        <v>482187</v>
      </c>
      <c r="G652" s="370">
        <f t="shared" si="30"/>
        <v>2.2284450377172638E-5</v>
      </c>
      <c r="H652" s="370">
        <f t="shared" si="31"/>
        <v>5.8608256747940344E-5</v>
      </c>
      <c r="I652" s="331">
        <v>80</v>
      </c>
      <c r="J652" s="331">
        <v>102423</v>
      </c>
      <c r="K652" s="331">
        <f t="shared" si="32"/>
        <v>-102343</v>
      </c>
      <c r="L652" s="199">
        <v>1.99</v>
      </c>
      <c r="M652" s="199">
        <v>1.65</v>
      </c>
    </row>
    <row r="653" spans="1:13" ht="15" customHeight="1" x14ac:dyDescent="0.25">
      <c r="A653" s="49">
        <v>1983</v>
      </c>
      <c r="B653" s="330" t="s">
        <v>20</v>
      </c>
      <c r="C653" s="331">
        <v>21049006894</v>
      </c>
      <c r="D653" s="331">
        <v>8714865453</v>
      </c>
      <c r="E653" s="331">
        <v>286837382</v>
      </c>
      <c r="F653" s="331">
        <v>595653</v>
      </c>
      <c r="G653" s="370">
        <f t="shared" si="30"/>
        <v>2.8298389705492014E-5</v>
      </c>
      <c r="H653" s="370">
        <f t="shared" si="31"/>
        <v>6.8349075864958161E-5</v>
      </c>
      <c r="I653" s="331">
        <v>0</v>
      </c>
      <c r="J653" s="331">
        <v>520365</v>
      </c>
      <c r="K653" s="331">
        <f t="shared" si="32"/>
        <v>-520365</v>
      </c>
      <c r="L653" s="199">
        <v>3.29</v>
      </c>
      <c r="M653" s="199">
        <v>2.2400000000000002</v>
      </c>
    </row>
    <row r="654" spans="1:13" ht="15" customHeight="1" x14ac:dyDescent="0.25">
      <c r="A654" s="49">
        <v>1984</v>
      </c>
      <c r="B654" s="330" t="s">
        <v>20</v>
      </c>
      <c r="C654" s="331">
        <v>22139031125</v>
      </c>
      <c r="D654" s="331">
        <v>9007920533</v>
      </c>
      <c r="E654" s="331">
        <v>363183651</v>
      </c>
      <c r="F654" s="331">
        <v>397494</v>
      </c>
      <c r="G654" s="370">
        <f t="shared" si="30"/>
        <v>1.7954444246258765E-5</v>
      </c>
      <c r="H654" s="370">
        <f t="shared" si="31"/>
        <v>4.412716548106786E-5</v>
      </c>
      <c r="I654" s="331">
        <v>0</v>
      </c>
      <c r="J654" s="331">
        <v>521188</v>
      </c>
      <c r="K654" s="331">
        <f t="shared" si="32"/>
        <v>-521188</v>
      </c>
      <c r="L654" s="199">
        <v>4.03</v>
      </c>
      <c r="M654" s="199">
        <v>2.39</v>
      </c>
    </row>
    <row r="655" spans="1:13" ht="15" customHeight="1" x14ac:dyDescent="0.25">
      <c r="A655" s="49">
        <v>1985</v>
      </c>
      <c r="B655" s="330" t="s">
        <v>20</v>
      </c>
      <c r="C655" s="331">
        <v>22353890248</v>
      </c>
      <c r="D655" s="331">
        <v>8919592331</v>
      </c>
      <c r="E655" s="331">
        <v>353751769</v>
      </c>
      <c r="F655" s="331">
        <v>445631</v>
      </c>
      <c r="G655" s="370">
        <f t="shared" si="30"/>
        <v>1.9935277262975313E-5</v>
      </c>
      <c r="H655" s="370">
        <f t="shared" si="31"/>
        <v>4.996091564086529E-5</v>
      </c>
      <c r="I655" s="331">
        <v>0</v>
      </c>
      <c r="J655" s="331">
        <v>576948</v>
      </c>
      <c r="K655" s="331">
        <f t="shared" si="32"/>
        <v>-576948</v>
      </c>
      <c r="L655" s="199">
        <v>3.97</v>
      </c>
      <c r="M655" s="199">
        <v>2.46</v>
      </c>
    </row>
    <row r="656" spans="1:13" ht="15" customHeight="1" x14ac:dyDescent="0.25">
      <c r="A656" s="49">
        <v>1986</v>
      </c>
      <c r="B656" s="330" t="s">
        <v>20</v>
      </c>
      <c r="C656" s="331">
        <v>21048616109</v>
      </c>
      <c r="D656" s="331">
        <v>8333402974</v>
      </c>
      <c r="E656" s="331">
        <v>317893837</v>
      </c>
      <c r="F656" s="331">
        <v>538139</v>
      </c>
      <c r="G656" s="370">
        <f t="shared" si="30"/>
        <v>2.5566478917818338E-5</v>
      </c>
      <c r="H656" s="370">
        <f t="shared" si="31"/>
        <v>6.457614034494427E-5</v>
      </c>
      <c r="I656" s="331">
        <v>0</v>
      </c>
      <c r="J656" s="331">
        <v>786692</v>
      </c>
      <c r="K656" s="331">
        <f t="shared" si="32"/>
        <v>-786692</v>
      </c>
      <c r="L656" s="199">
        <v>3.81</v>
      </c>
      <c r="M656" s="199">
        <v>2.73</v>
      </c>
    </row>
    <row r="657" spans="1:13" ht="15" customHeight="1" x14ac:dyDescent="0.25">
      <c r="A657" s="49">
        <v>1987</v>
      </c>
      <c r="B657" s="330" t="s">
        <v>20</v>
      </c>
      <c r="C657" s="331">
        <v>20903697713</v>
      </c>
      <c r="D657" s="331">
        <v>8038517677</v>
      </c>
      <c r="E657" s="331">
        <v>305712879</v>
      </c>
      <c r="F657" s="331">
        <v>354477</v>
      </c>
      <c r="G657" s="370">
        <f t="shared" si="30"/>
        <v>1.6957621798154443E-5</v>
      </c>
      <c r="H657" s="370">
        <f t="shared" si="31"/>
        <v>4.4097309260666068E-5</v>
      </c>
      <c r="I657" s="331">
        <v>663</v>
      </c>
      <c r="J657" s="331">
        <v>0</v>
      </c>
      <c r="K657" s="331">
        <f t="shared" si="32"/>
        <v>663</v>
      </c>
      <c r="L657" s="199">
        <v>3.8</v>
      </c>
      <c r="M657" s="199">
        <v>2.73</v>
      </c>
    </row>
    <row r="658" spans="1:13" ht="15" customHeight="1" x14ac:dyDescent="0.25">
      <c r="A658" s="49">
        <v>1988</v>
      </c>
      <c r="B658" s="330" t="s">
        <v>20</v>
      </c>
      <c r="C658" s="331">
        <v>22255541709</v>
      </c>
      <c r="D658" s="331">
        <v>9484299135</v>
      </c>
      <c r="E658" s="331">
        <v>311503789</v>
      </c>
      <c r="F658" s="331">
        <v>205249</v>
      </c>
      <c r="G658" s="370">
        <f t="shared" si="30"/>
        <v>9.2223771806461394E-6</v>
      </c>
      <c r="H658" s="370">
        <f t="shared" si="31"/>
        <v>2.1640924340162117E-5</v>
      </c>
      <c r="I658" s="331">
        <v>153986</v>
      </c>
      <c r="J658" s="331">
        <v>0</v>
      </c>
      <c r="K658" s="331">
        <f t="shared" si="32"/>
        <v>153986</v>
      </c>
      <c r="L658" s="199">
        <v>3.28</v>
      </c>
      <c r="M658" s="199">
        <v>2.73</v>
      </c>
    </row>
    <row r="659" spans="1:13" ht="15" customHeight="1" x14ac:dyDescent="0.25">
      <c r="A659" s="49">
        <v>1989</v>
      </c>
      <c r="B659" s="330" t="s">
        <v>20</v>
      </c>
      <c r="C659" s="331">
        <v>23055026734</v>
      </c>
      <c r="D659" s="331">
        <v>9764135262</v>
      </c>
      <c r="E659" s="331">
        <v>285950540</v>
      </c>
      <c r="F659" s="331">
        <v>150516</v>
      </c>
      <c r="G659" s="370">
        <f t="shared" si="30"/>
        <v>6.5285545636791282E-6</v>
      </c>
      <c r="H659" s="370">
        <f t="shared" si="31"/>
        <v>1.5415189974454493E-5</v>
      </c>
      <c r="I659" s="331">
        <v>306008</v>
      </c>
      <c r="J659" s="331">
        <v>0</v>
      </c>
      <c r="K659" s="331">
        <f t="shared" si="32"/>
        <v>306008</v>
      </c>
      <c r="L659" s="199">
        <v>2.93</v>
      </c>
      <c r="M659" s="199">
        <v>2.73</v>
      </c>
    </row>
    <row r="660" spans="1:13" ht="15" customHeight="1" x14ac:dyDescent="0.25">
      <c r="A660" s="49">
        <v>1990</v>
      </c>
      <c r="B660" s="330" t="s">
        <v>20</v>
      </c>
      <c r="C660" s="331">
        <v>24875569101</v>
      </c>
      <c r="D660" s="331">
        <v>10202917747</v>
      </c>
      <c r="E660" s="331">
        <v>232729567</v>
      </c>
      <c r="F660" s="331">
        <v>119847</v>
      </c>
      <c r="G660" s="370">
        <f t="shared" si="30"/>
        <v>4.817859624171659E-6</v>
      </c>
      <c r="H660" s="370">
        <f t="shared" si="31"/>
        <v>1.1746345797528265E-5</v>
      </c>
      <c r="I660" s="331">
        <v>455799</v>
      </c>
      <c r="J660" s="331">
        <v>0</v>
      </c>
      <c r="K660" s="331">
        <f t="shared" si="32"/>
        <v>455799</v>
      </c>
      <c r="L660" s="199">
        <v>2.2799999999999998</v>
      </c>
      <c r="M660" s="199">
        <v>2.73</v>
      </c>
    </row>
    <row r="661" spans="1:13" ht="15" customHeight="1" x14ac:dyDescent="0.25">
      <c r="A661" s="49">
        <v>1991</v>
      </c>
      <c r="B661" s="330" t="s">
        <v>20</v>
      </c>
      <c r="C661" s="331">
        <v>26027177281</v>
      </c>
      <c r="D661" s="331">
        <v>10333933267</v>
      </c>
      <c r="E661" s="331">
        <v>214635057</v>
      </c>
      <c r="F661" s="331">
        <v>157851</v>
      </c>
      <c r="G661" s="370">
        <f t="shared" si="30"/>
        <v>6.0648528380844513E-6</v>
      </c>
      <c r="H661" s="370">
        <f t="shared" si="31"/>
        <v>1.5275016387426804E-5</v>
      </c>
      <c r="I661" s="331">
        <v>559975</v>
      </c>
      <c r="J661" s="331">
        <v>0</v>
      </c>
      <c r="K661" s="331">
        <f t="shared" si="32"/>
        <v>559975</v>
      </c>
      <c r="L661" s="199">
        <v>2.08</v>
      </c>
      <c r="M661" s="199">
        <v>2.73</v>
      </c>
    </row>
    <row r="662" spans="1:13" ht="15" customHeight="1" x14ac:dyDescent="0.25">
      <c r="A662" s="49">
        <v>1992</v>
      </c>
      <c r="B662" s="330" t="s">
        <v>20</v>
      </c>
      <c r="C662" s="331">
        <v>27087208618</v>
      </c>
      <c r="D662" s="331">
        <v>10404400874</v>
      </c>
      <c r="E662" s="331">
        <v>194663011</v>
      </c>
      <c r="F662" s="331">
        <v>204518</v>
      </c>
      <c r="G662" s="370">
        <f t="shared" si="30"/>
        <v>7.550353485448982E-6</v>
      </c>
      <c r="H662" s="370">
        <f t="shared" si="31"/>
        <v>1.965687428586866E-5</v>
      </c>
      <c r="I662" s="331">
        <v>600917</v>
      </c>
      <c r="J662" s="331">
        <v>0</v>
      </c>
      <c r="K662" s="331">
        <f t="shared" si="32"/>
        <v>600917</v>
      </c>
      <c r="L662" s="199">
        <v>1.87</v>
      </c>
      <c r="M662" s="199">
        <v>2.73</v>
      </c>
    </row>
    <row r="663" spans="1:13" ht="15" customHeight="1" x14ac:dyDescent="0.25">
      <c r="A663" s="49">
        <v>1993</v>
      </c>
      <c r="B663" s="330" t="s">
        <v>20</v>
      </c>
      <c r="C663" s="331">
        <v>27905797109</v>
      </c>
      <c r="D663" s="331">
        <v>10668509981</v>
      </c>
      <c r="E663" s="331">
        <v>196947563</v>
      </c>
      <c r="F663" s="331">
        <v>157766</v>
      </c>
      <c r="G663" s="370">
        <f t="shared" si="30"/>
        <v>5.6535206424588499E-6</v>
      </c>
      <c r="H663" s="370">
        <f t="shared" si="31"/>
        <v>1.4788006973885963E-5</v>
      </c>
      <c r="I663" s="331">
        <v>689382</v>
      </c>
      <c r="J663" s="331">
        <v>0</v>
      </c>
      <c r="K663" s="331">
        <f t="shared" si="32"/>
        <v>689382</v>
      </c>
      <c r="L663" s="199">
        <v>1.85</v>
      </c>
      <c r="M663" s="199">
        <v>2.73</v>
      </c>
    </row>
    <row r="664" spans="1:13" ht="15" customHeight="1" x14ac:dyDescent="0.25">
      <c r="A664" s="49">
        <v>1994</v>
      </c>
      <c r="B664" s="330" t="s">
        <v>20</v>
      </c>
      <c r="C664" s="331">
        <v>29796493680</v>
      </c>
      <c r="D664" s="331">
        <v>11264273758</v>
      </c>
      <c r="E664" s="331">
        <v>209011433</v>
      </c>
      <c r="F664" s="331">
        <v>145609</v>
      </c>
      <c r="G664" s="370">
        <f t="shared" si="30"/>
        <v>4.8867830411111648E-6</v>
      </c>
      <c r="H664" s="370">
        <f t="shared" si="31"/>
        <v>1.2926621203305453E-5</v>
      </c>
      <c r="I664" s="331">
        <v>868819</v>
      </c>
      <c r="J664" s="331">
        <v>0</v>
      </c>
      <c r="K664" s="331">
        <f t="shared" si="32"/>
        <v>868819</v>
      </c>
      <c r="L664" s="199">
        <v>1.86</v>
      </c>
      <c r="M664" s="199">
        <v>2.73</v>
      </c>
    </row>
    <row r="665" spans="1:13" ht="15" customHeight="1" x14ac:dyDescent="0.25">
      <c r="A665" s="49">
        <v>1995</v>
      </c>
      <c r="B665" s="330" t="s">
        <v>20</v>
      </c>
      <c r="C665" s="331">
        <v>31890658767</v>
      </c>
      <c r="D665" s="331">
        <v>11802342501</v>
      </c>
      <c r="E665" s="331">
        <v>204329358</v>
      </c>
      <c r="F665" s="331">
        <v>138302</v>
      </c>
      <c r="G665" s="370">
        <f t="shared" si="30"/>
        <v>4.3367558196418617E-6</v>
      </c>
      <c r="H665" s="370">
        <f t="shared" si="31"/>
        <v>1.171818221580011E-5</v>
      </c>
      <c r="I665" s="331">
        <v>1003378</v>
      </c>
      <c r="J665" s="331">
        <v>0</v>
      </c>
      <c r="K665" s="331">
        <f t="shared" si="32"/>
        <v>1003378</v>
      </c>
      <c r="L665" s="199">
        <v>1.73</v>
      </c>
      <c r="M665" s="199">
        <v>2.73</v>
      </c>
    </row>
    <row r="666" spans="1:13" x14ac:dyDescent="0.25">
      <c r="A666" s="49">
        <v>1996</v>
      </c>
      <c r="B666" s="330" t="s">
        <v>20</v>
      </c>
      <c r="C666" s="331">
        <v>33781414472</v>
      </c>
      <c r="D666" s="331">
        <v>11464726752</v>
      </c>
      <c r="E666" s="331">
        <v>193963215</v>
      </c>
      <c r="F666" s="331">
        <v>142700</v>
      </c>
      <c r="G666" s="370">
        <f t="shared" si="30"/>
        <v>4.224216251166098E-6</v>
      </c>
      <c r="H666" s="370">
        <f t="shared" si="31"/>
        <v>1.2446873186498427E-5</v>
      </c>
      <c r="I666" s="331">
        <v>1131152</v>
      </c>
      <c r="J666" s="331">
        <v>0</v>
      </c>
      <c r="K666" s="331">
        <f t="shared" si="32"/>
        <v>1131152</v>
      </c>
      <c r="L666" s="199">
        <v>1.69</v>
      </c>
      <c r="M666" s="199">
        <v>2.73</v>
      </c>
    </row>
    <row r="667" spans="1:13" ht="15" customHeight="1" x14ac:dyDescent="0.25">
      <c r="A667" s="49">
        <v>1997</v>
      </c>
      <c r="B667" s="330" t="s">
        <v>20</v>
      </c>
      <c r="C667" s="331">
        <v>36397532710</v>
      </c>
      <c r="D667" s="331">
        <v>12033931900</v>
      </c>
      <c r="E667" s="331">
        <v>198221160</v>
      </c>
      <c r="F667" s="331">
        <v>139398</v>
      </c>
      <c r="G667" s="370">
        <f t="shared" si="30"/>
        <v>3.8298749838529918E-6</v>
      </c>
      <c r="H667" s="370">
        <f t="shared" si="31"/>
        <v>1.1583745126561668E-5</v>
      </c>
      <c r="I667" s="331">
        <v>1275668</v>
      </c>
      <c r="J667" s="331">
        <v>0</v>
      </c>
      <c r="K667" s="331">
        <f t="shared" si="32"/>
        <v>1275668</v>
      </c>
      <c r="L667" s="199">
        <v>1.65</v>
      </c>
      <c r="M667" s="199">
        <v>2.73</v>
      </c>
    </row>
    <row r="668" spans="1:13" ht="15" customHeight="1" x14ac:dyDescent="0.25">
      <c r="A668" s="49">
        <v>1998</v>
      </c>
      <c r="B668" s="330" t="s">
        <v>20</v>
      </c>
      <c r="C668" s="331">
        <v>39006304786</v>
      </c>
      <c r="D668" s="331">
        <v>11708574281</v>
      </c>
      <c r="E668" s="331">
        <v>188405583</v>
      </c>
      <c r="F668" s="331">
        <v>142279</v>
      </c>
      <c r="G668" s="370">
        <f t="shared" si="30"/>
        <v>3.6475898135079502E-6</v>
      </c>
      <c r="H668" s="370">
        <f t="shared" si="31"/>
        <v>1.2151692988862203E-5</v>
      </c>
      <c r="I668" s="331">
        <v>1402085</v>
      </c>
      <c r="J668" s="331">
        <v>0</v>
      </c>
      <c r="K668" s="331">
        <f t="shared" si="32"/>
        <v>1402085</v>
      </c>
      <c r="L668" s="199">
        <v>1.61</v>
      </c>
      <c r="M668" s="199">
        <v>2.73</v>
      </c>
    </row>
    <row r="669" spans="1:13" ht="15" customHeight="1" x14ac:dyDescent="0.25">
      <c r="A669" s="49">
        <v>1999</v>
      </c>
      <c r="B669" s="330" t="s">
        <v>20</v>
      </c>
      <c r="C669" s="331">
        <v>39445711209</v>
      </c>
      <c r="D669" s="331">
        <v>11688621117</v>
      </c>
      <c r="E669" s="331">
        <v>171353472</v>
      </c>
      <c r="F669" s="331">
        <v>182970</v>
      </c>
      <c r="G669" s="370">
        <f t="shared" si="30"/>
        <v>4.6385270893088435E-6</v>
      </c>
      <c r="H669" s="370">
        <f t="shared" si="31"/>
        <v>1.5653685594606823E-5</v>
      </c>
      <c r="I669" s="331">
        <v>1479393</v>
      </c>
      <c r="J669" s="331">
        <v>0</v>
      </c>
      <c r="K669" s="331">
        <f t="shared" si="32"/>
        <v>1479393</v>
      </c>
      <c r="L669" s="199">
        <v>1.47</v>
      </c>
      <c r="M669" s="199">
        <v>2.73</v>
      </c>
    </row>
    <row r="670" spans="1:13" ht="15" customHeight="1" x14ac:dyDescent="0.25">
      <c r="A670" s="49">
        <v>2000</v>
      </c>
      <c r="B670" s="330" t="s">
        <v>20</v>
      </c>
      <c r="C670" s="331">
        <v>40771782099</v>
      </c>
      <c r="D670" s="331">
        <v>11802035599</v>
      </c>
      <c r="E670" s="331">
        <v>156503985</v>
      </c>
      <c r="F670" s="331">
        <v>174433</v>
      </c>
      <c r="G670" s="370">
        <f t="shared" si="30"/>
        <v>4.2782775493219928E-6</v>
      </c>
      <c r="H670" s="370">
        <f t="shared" si="31"/>
        <v>1.4779907968993071E-5</v>
      </c>
      <c r="I670" s="331">
        <v>1511999</v>
      </c>
      <c r="J670" s="331">
        <v>0</v>
      </c>
      <c r="K670" s="331">
        <f t="shared" si="32"/>
        <v>1511999</v>
      </c>
      <c r="L670" s="199">
        <v>1.33</v>
      </c>
      <c r="M670" s="199">
        <v>2.73</v>
      </c>
    </row>
    <row r="671" spans="1:13" ht="15" customHeight="1" x14ac:dyDescent="0.25">
      <c r="A671" s="49">
        <v>2001</v>
      </c>
      <c r="B671" s="330" t="s">
        <v>20</v>
      </c>
      <c r="C671" s="331">
        <v>42597016677</v>
      </c>
      <c r="D671" s="331">
        <v>11779671791</v>
      </c>
      <c r="E671" s="331">
        <v>178851233</v>
      </c>
      <c r="F671" s="331">
        <v>220452</v>
      </c>
      <c r="G671" s="370">
        <f t="shared" si="30"/>
        <v>5.1752920086310108E-6</v>
      </c>
      <c r="H671" s="370">
        <f t="shared" si="31"/>
        <v>1.8714613098849793E-5</v>
      </c>
      <c r="I671" s="331">
        <v>1508923</v>
      </c>
      <c r="J671" s="331">
        <v>0</v>
      </c>
      <c r="K671" s="331">
        <f t="shared" si="32"/>
        <v>1508923</v>
      </c>
      <c r="L671" s="199">
        <v>1.52</v>
      </c>
      <c r="M671" s="199">
        <v>2.73</v>
      </c>
    </row>
    <row r="672" spans="1:13" ht="15" customHeight="1" x14ac:dyDescent="0.25">
      <c r="A672" s="49">
        <v>2002</v>
      </c>
      <c r="B672" s="330" t="s">
        <v>20</v>
      </c>
      <c r="C672" s="331">
        <v>42936964275</v>
      </c>
      <c r="D672" s="331">
        <v>11538058548</v>
      </c>
      <c r="E672" s="331">
        <v>183098874</v>
      </c>
      <c r="F672" s="331">
        <v>290129</v>
      </c>
      <c r="G672" s="370">
        <f t="shared" si="30"/>
        <v>6.7570915852783583E-6</v>
      </c>
      <c r="H672" s="370">
        <f t="shared" si="31"/>
        <v>2.51453915572556E-5</v>
      </c>
      <c r="I672" s="331">
        <v>1544883</v>
      </c>
      <c r="J672" s="331">
        <v>0</v>
      </c>
      <c r="K672" s="331">
        <f t="shared" si="32"/>
        <v>1544883</v>
      </c>
      <c r="L672" s="199">
        <v>1.59</v>
      </c>
      <c r="M672" s="199">
        <v>2.73</v>
      </c>
    </row>
    <row r="673" spans="1:13" ht="15" customHeight="1" x14ac:dyDescent="0.25">
      <c r="A673" s="49">
        <v>2003</v>
      </c>
      <c r="B673" s="330" t="s">
        <v>20</v>
      </c>
      <c r="C673" s="331">
        <v>43839296420</v>
      </c>
      <c r="D673" s="331">
        <v>11517799973</v>
      </c>
      <c r="E673" s="331">
        <v>193825929</v>
      </c>
      <c r="F673" s="331">
        <v>281154</v>
      </c>
      <c r="G673" s="370">
        <f t="shared" si="30"/>
        <v>6.4132872322224193E-6</v>
      </c>
      <c r="H673" s="370">
        <f t="shared" si="31"/>
        <v>2.4410390930479826E-5</v>
      </c>
      <c r="I673" s="331">
        <v>1491196</v>
      </c>
      <c r="J673" s="331">
        <v>0</v>
      </c>
      <c r="K673" s="331">
        <f t="shared" si="32"/>
        <v>1491196</v>
      </c>
      <c r="L673" s="199">
        <v>1.68</v>
      </c>
      <c r="M673" s="199">
        <v>2.73</v>
      </c>
    </row>
    <row r="674" spans="1:13" ht="15" customHeight="1" x14ac:dyDescent="0.25">
      <c r="A674" s="49">
        <v>2004</v>
      </c>
      <c r="B674" s="330" t="s">
        <v>20</v>
      </c>
      <c r="C674" s="331">
        <v>45493710779</v>
      </c>
      <c r="D674" s="331">
        <v>11683649447</v>
      </c>
      <c r="E674" s="331">
        <v>205893072</v>
      </c>
      <c r="F674" s="331">
        <v>274696</v>
      </c>
      <c r="G674" s="370">
        <f t="shared" si="30"/>
        <v>6.0381093407487062E-6</v>
      </c>
      <c r="H674" s="370">
        <f t="shared" si="31"/>
        <v>2.3511147030394125E-5</v>
      </c>
      <c r="I674" s="331">
        <v>1460186</v>
      </c>
      <c r="J674" s="331">
        <v>0</v>
      </c>
      <c r="K674" s="331">
        <f t="shared" si="32"/>
        <v>1460186</v>
      </c>
      <c r="L674" s="199">
        <v>1.76</v>
      </c>
      <c r="M674" s="199">
        <v>2.73</v>
      </c>
    </row>
    <row r="675" spans="1:13" ht="15" customHeight="1" x14ac:dyDescent="0.25">
      <c r="A675" s="49">
        <v>2005</v>
      </c>
      <c r="B675" s="330" t="s">
        <v>20</v>
      </c>
      <c r="C675" s="331">
        <v>47587654510</v>
      </c>
      <c r="D675" s="331">
        <v>12105261801</v>
      </c>
      <c r="E675" s="331">
        <v>181292540</v>
      </c>
      <c r="F675" s="331">
        <v>582857</v>
      </c>
      <c r="G675" s="370">
        <f t="shared" si="30"/>
        <v>1.2248071605998553E-5</v>
      </c>
      <c r="H675" s="370">
        <f t="shared" si="31"/>
        <v>4.8149061918830282E-5</v>
      </c>
      <c r="I675" s="331">
        <v>1428356</v>
      </c>
      <c r="J675" s="331">
        <v>0</v>
      </c>
      <c r="K675" s="331">
        <f t="shared" si="32"/>
        <v>1428356</v>
      </c>
      <c r="L675" s="199">
        <v>1.5</v>
      </c>
      <c r="M675" s="199">
        <v>2.73</v>
      </c>
    </row>
    <row r="676" spans="1:13" ht="15" customHeight="1" x14ac:dyDescent="0.25">
      <c r="A676" s="49">
        <v>2006</v>
      </c>
      <c r="B676" s="330" t="s">
        <v>20</v>
      </c>
      <c r="C676" s="331">
        <v>52193756402</v>
      </c>
      <c r="D676" s="331">
        <v>12413665680</v>
      </c>
      <c r="E676" s="331">
        <v>186290587</v>
      </c>
      <c r="F676" s="331">
        <v>253515</v>
      </c>
      <c r="G676" s="370">
        <f t="shared" si="30"/>
        <v>4.8571901598231316E-6</v>
      </c>
      <c r="H676" s="370">
        <f t="shared" si="31"/>
        <v>2.0422251294268785E-5</v>
      </c>
      <c r="I676" s="331">
        <v>1371468</v>
      </c>
      <c r="J676" s="331">
        <v>0</v>
      </c>
      <c r="K676" s="331">
        <f t="shared" si="32"/>
        <v>1371468</v>
      </c>
      <c r="L676" s="199">
        <v>1.5</v>
      </c>
      <c r="M676" s="199">
        <v>2.73</v>
      </c>
    </row>
    <row r="677" spans="1:13" ht="15" customHeight="1" x14ac:dyDescent="0.25">
      <c r="A677" s="49">
        <v>2007</v>
      </c>
      <c r="B677" s="330" t="s">
        <v>20</v>
      </c>
      <c r="C677" s="331">
        <v>56411018100</v>
      </c>
      <c r="D677" s="331">
        <v>12930004014</v>
      </c>
      <c r="E677" s="331">
        <v>183637508</v>
      </c>
      <c r="F677" s="331">
        <v>166812</v>
      </c>
      <c r="G677" s="370">
        <f t="shared" si="30"/>
        <v>2.9570818896459519E-6</v>
      </c>
      <c r="H677" s="370">
        <f t="shared" si="31"/>
        <v>1.2901156087761754E-5</v>
      </c>
      <c r="I677" s="331">
        <v>1444768</v>
      </c>
      <c r="J677" s="331">
        <v>0</v>
      </c>
      <c r="K677" s="331">
        <f t="shared" si="32"/>
        <v>1444768</v>
      </c>
      <c r="L677" s="199">
        <v>1.42</v>
      </c>
      <c r="M677" s="199">
        <v>2.73</v>
      </c>
    </row>
    <row r="678" spans="1:13" ht="15" customHeight="1" x14ac:dyDescent="0.25">
      <c r="A678" s="49">
        <v>2008</v>
      </c>
      <c r="B678" s="330" t="s">
        <v>20</v>
      </c>
      <c r="C678" s="331">
        <v>59797723275</v>
      </c>
      <c r="D678" s="331">
        <v>13071249824</v>
      </c>
      <c r="E678" s="331">
        <v>184864812</v>
      </c>
      <c r="F678" s="331">
        <v>211946</v>
      </c>
      <c r="G678" s="370">
        <f t="shared" si="30"/>
        <v>3.5443824345166926E-6</v>
      </c>
      <c r="H678" s="370">
        <f t="shared" si="31"/>
        <v>1.6214669817636561E-5</v>
      </c>
      <c r="I678" s="331">
        <v>1460753</v>
      </c>
      <c r="J678" s="331">
        <v>0</v>
      </c>
      <c r="K678" s="331">
        <f t="shared" si="32"/>
        <v>1460753</v>
      </c>
      <c r="L678" s="199">
        <v>1.4</v>
      </c>
      <c r="M678" s="199">
        <v>2.73</v>
      </c>
    </row>
    <row r="679" spans="1:13" ht="15" customHeight="1" x14ac:dyDescent="0.25">
      <c r="A679" s="49">
        <v>2009</v>
      </c>
      <c r="B679" s="330" t="s">
        <v>20</v>
      </c>
      <c r="C679" s="331">
        <v>57850957303</v>
      </c>
      <c r="D679" s="331">
        <v>12492801551</v>
      </c>
      <c r="E679" s="331">
        <v>174055826</v>
      </c>
      <c r="F679" s="331">
        <v>428520</v>
      </c>
      <c r="G679" s="370">
        <f t="shared" si="30"/>
        <v>7.4073104400949659E-6</v>
      </c>
      <c r="H679" s="370">
        <f t="shared" si="31"/>
        <v>3.4301353323402358E-5</v>
      </c>
      <c r="I679" s="331">
        <v>1144195</v>
      </c>
      <c r="J679" s="331">
        <v>0</v>
      </c>
      <c r="K679" s="331">
        <f t="shared" si="32"/>
        <v>1144195</v>
      </c>
      <c r="L679" s="199">
        <v>1.4</v>
      </c>
      <c r="M679" s="199">
        <v>0.96</v>
      </c>
    </row>
    <row r="680" spans="1:13" ht="15" customHeight="1" x14ac:dyDescent="0.25">
      <c r="A680" s="49">
        <v>2010</v>
      </c>
      <c r="B680" s="330" t="s">
        <v>20</v>
      </c>
      <c r="C680" s="331">
        <v>58492945217</v>
      </c>
      <c r="D680" s="331">
        <v>13434174981</v>
      </c>
      <c r="E680" s="331">
        <v>218058565</v>
      </c>
      <c r="F680" s="331">
        <v>332669</v>
      </c>
      <c r="G680" s="370">
        <f t="shared" si="30"/>
        <v>5.6873354344844192E-6</v>
      </c>
      <c r="H680" s="370">
        <f t="shared" si="31"/>
        <v>2.4762890201333161E-5</v>
      </c>
      <c r="I680" s="331">
        <v>895643</v>
      </c>
      <c r="J680" s="331">
        <v>0</v>
      </c>
      <c r="K680" s="331">
        <f t="shared" si="32"/>
        <v>895643</v>
      </c>
      <c r="L680" s="199">
        <v>1.6</v>
      </c>
      <c r="M680" s="199">
        <v>0.98</v>
      </c>
    </row>
    <row r="681" spans="1:13" ht="15" customHeight="1" x14ac:dyDescent="0.25">
      <c r="A681" s="49">
        <v>2011</v>
      </c>
      <c r="B681" s="330" t="s">
        <v>20</v>
      </c>
      <c r="C681" s="331">
        <v>61064266321</v>
      </c>
      <c r="D681" s="331">
        <v>13626312675</v>
      </c>
      <c r="E681" s="331">
        <v>259892240</v>
      </c>
      <c r="F681" s="331">
        <v>360812</v>
      </c>
      <c r="G681" s="370">
        <f t="shared" si="30"/>
        <v>5.9087257038887371E-6</v>
      </c>
      <c r="H681" s="370">
        <f t="shared" si="31"/>
        <v>2.6479063603316294E-5</v>
      </c>
      <c r="I681" s="331">
        <v>790309</v>
      </c>
      <c r="J681" s="331">
        <v>0</v>
      </c>
      <c r="K681" s="331">
        <f t="shared" si="32"/>
        <v>790309</v>
      </c>
      <c r="L681" s="199">
        <v>1.9</v>
      </c>
      <c r="M681" s="199">
        <v>0.98</v>
      </c>
    </row>
    <row r="682" spans="1:13" ht="15" customHeight="1" x14ac:dyDescent="0.25">
      <c r="A682" s="49">
        <v>2012</v>
      </c>
      <c r="B682" s="330" t="s">
        <v>20</v>
      </c>
      <c r="C682" s="331">
        <v>63856334636</v>
      </c>
      <c r="D682" s="331">
        <v>14131741520</v>
      </c>
      <c r="E682" s="331">
        <v>249324422</v>
      </c>
      <c r="F682" s="331">
        <v>269412</v>
      </c>
      <c r="G682" s="370">
        <f t="shared" si="30"/>
        <v>4.2190332648393945E-6</v>
      </c>
      <c r="H682" s="370">
        <f t="shared" si="31"/>
        <v>1.9064316992970304E-5</v>
      </c>
      <c r="I682" s="331">
        <v>756454</v>
      </c>
      <c r="J682" s="331">
        <v>0</v>
      </c>
      <c r="K682" s="331">
        <f t="shared" si="32"/>
        <v>756454</v>
      </c>
      <c r="L682" s="199">
        <v>1.76</v>
      </c>
      <c r="M682" s="199">
        <v>0.98</v>
      </c>
    </row>
    <row r="683" spans="1:13" ht="15" customHeight="1" x14ac:dyDescent="0.25">
      <c r="A683" s="49">
        <v>2013</v>
      </c>
      <c r="B683" s="330" t="s">
        <v>20</v>
      </c>
      <c r="C683" s="331">
        <v>66488503429</v>
      </c>
      <c r="D683" s="331">
        <v>14445411700</v>
      </c>
      <c r="E683" s="331">
        <v>267816467</v>
      </c>
      <c r="F683" s="331">
        <v>194776</v>
      </c>
      <c r="G683" s="370">
        <f t="shared" si="30"/>
        <v>2.9294688548373221E-6</v>
      </c>
      <c r="H683" s="370">
        <f t="shared" si="31"/>
        <v>1.348358939468648E-5</v>
      </c>
      <c r="I683" s="331">
        <v>815975</v>
      </c>
      <c r="J683" s="331">
        <v>0</v>
      </c>
      <c r="K683" s="331">
        <f t="shared" si="32"/>
        <v>815975</v>
      </c>
      <c r="L683" s="199">
        <v>1.85</v>
      </c>
      <c r="M683" s="199">
        <v>0.98</v>
      </c>
    </row>
    <row r="684" spans="1:13" ht="15" customHeight="1" x14ac:dyDescent="0.25">
      <c r="A684" s="49">
        <v>2014</v>
      </c>
      <c r="B684" s="330" t="s">
        <v>20</v>
      </c>
      <c r="C684" s="331">
        <v>70164138397</v>
      </c>
      <c r="D684" s="331">
        <v>14783446749</v>
      </c>
      <c r="E684" s="331">
        <v>247856202</v>
      </c>
      <c r="F684" s="331">
        <v>175465</v>
      </c>
      <c r="G684" s="370">
        <f t="shared" si="30"/>
        <v>2.5007789450387141E-6</v>
      </c>
      <c r="H684" s="370">
        <f t="shared" si="31"/>
        <v>1.1869018299935299E-5</v>
      </c>
      <c r="I684" s="331">
        <v>885899</v>
      </c>
      <c r="J684" s="331">
        <v>0</v>
      </c>
      <c r="K684" s="331">
        <f t="shared" si="32"/>
        <v>885899</v>
      </c>
      <c r="L684" s="333">
        <v>1.676579259277041</v>
      </c>
      <c r="M684" s="199">
        <v>0.98</v>
      </c>
    </row>
    <row r="685" spans="1:13" ht="15" customHeight="1" x14ac:dyDescent="0.25">
      <c r="A685" s="49">
        <v>2015</v>
      </c>
      <c r="B685" s="330" t="s">
        <v>20</v>
      </c>
      <c r="C685" s="334">
        <v>71164889000</v>
      </c>
      <c r="D685" s="334">
        <v>14900988000</v>
      </c>
      <c r="E685" s="334">
        <v>218824000</v>
      </c>
      <c r="F685" s="331">
        <v>223203</v>
      </c>
      <c r="G685" s="370">
        <f t="shared" si="30"/>
        <v>3.136420264774108E-6</v>
      </c>
      <c r="H685" s="370">
        <f t="shared" si="31"/>
        <v>1.4979073870806419E-5</v>
      </c>
      <c r="I685" s="331">
        <v>904485</v>
      </c>
      <c r="J685" s="199">
        <v>0</v>
      </c>
      <c r="K685" s="331">
        <f t="shared" si="32"/>
        <v>904485</v>
      </c>
      <c r="L685" s="199">
        <v>1.6</v>
      </c>
      <c r="M685" s="199">
        <v>1.06</v>
      </c>
    </row>
    <row r="686" spans="1:13" ht="15" customHeight="1" x14ac:dyDescent="0.25">
      <c r="A686" s="49">
        <v>1980</v>
      </c>
      <c r="B686" s="330" t="s">
        <v>21</v>
      </c>
      <c r="C686" s="331">
        <v>28707349701</v>
      </c>
      <c r="D686" s="331">
        <v>13144460654</v>
      </c>
      <c r="E686" s="331">
        <v>433213086</v>
      </c>
      <c r="F686" s="331">
        <v>315789</v>
      </c>
      <c r="G686" s="370">
        <f t="shared" si="30"/>
        <v>1.1000284013992407E-5</v>
      </c>
      <c r="H686" s="370">
        <f t="shared" si="31"/>
        <v>2.4024492773988565E-5</v>
      </c>
      <c r="I686" s="331">
        <v>257153</v>
      </c>
      <c r="J686" s="331">
        <v>0</v>
      </c>
      <c r="K686" s="331">
        <f t="shared" si="32"/>
        <v>257153</v>
      </c>
      <c r="L686" s="199">
        <v>3.3</v>
      </c>
      <c r="M686" s="199">
        <v>2.4900000000000002</v>
      </c>
    </row>
    <row r="687" spans="1:13" ht="15" customHeight="1" x14ac:dyDescent="0.25">
      <c r="A687" s="49">
        <v>1981</v>
      </c>
      <c r="B687" s="330" t="s">
        <v>21</v>
      </c>
      <c r="C687" s="331">
        <v>32291003969</v>
      </c>
      <c r="D687" s="331">
        <v>14316455639</v>
      </c>
      <c r="E687" s="331">
        <v>470883705</v>
      </c>
      <c r="F687" s="331">
        <v>344912</v>
      </c>
      <c r="G687" s="370">
        <f t="shared" si="30"/>
        <v>1.0681365012098178E-5</v>
      </c>
      <c r="H687" s="370">
        <f t="shared" si="31"/>
        <v>2.4091996559568286E-5</v>
      </c>
      <c r="I687" s="331">
        <v>412161</v>
      </c>
      <c r="J687" s="331">
        <v>0</v>
      </c>
      <c r="K687" s="331">
        <f t="shared" si="32"/>
        <v>412161</v>
      </c>
      <c r="L687" s="199">
        <v>3.29</v>
      </c>
      <c r="M687" s="199">
        <v>2.4900000000000002</v>
      </c>
    </row>
    <row r="688" spans="1:13" ht="15" customHeight="1" x14ac:dyDescent="0.25">
      <c r="A688" s="49">
        <v>1982</v>
      </c>
      <c r="B688" s="330" t="s">
        <v>21</v>
      </c>
      <c r="C688" s="331">
        <v>34687648915</v>
      </c>
      <c r="D688" s="331">
        <v>14474364584</v>
      </c>
      <c r="E688" s="331">
        <v>466712548</v>
      </c>
      <c r="F688" s="331">
        <v>492139</v>
      </c>
      <c r="G688" s="370">
        <f t="shared" si="30"/>
        <v>1.418773008242666E-5</v>
      </c>
      <c r="H688" s="370">
        <f t="shared" si="31"/>
        <v>3.4000732615510581E-5</v>
      </c>
      <c r="I688" s="331">
        <v>436344</v>
      </c>
      <c r="J688" s="331">
        <v>0</v>
      </c>
      <c r="K688" s="331">
        <f t="shared" si="32"/>
        <v>436344</v>
      </c>
      <c r="L688" s="199">
        <v>3.22</v>
      </c>
      <c r="M688" s="199">
        <v>2.4900000000000002</v>
      </c>
    </row>
    <row r="689" spans="1:13" ht="15" customHeight="1" x14ac:dyDescent="0.25">
      <c r="A689" s="49">
        <v>1983</v>
      </c>
      <c r="B689" s="330" t="s">
        <v>21</v>
      </c>
      <c r="C689" s="331">
        <v>37270328861</v>
      </c>
      <c r="D689" s="331">
        <v>16098848553</v>
      </c>
      <c r="E689" s="331">
        <v>499706593</v>
      </c>
      <c r="F689" s="331">
        <v>429392</v>
      </c>
      <c r="G689" s="370">
        <f t="shared" si="30"/>
        <v>1.1521014520730982E-5</v>
      </c>
      <c r="H689" s="370">
        <f t="shared" si="31"/>
        <v>2.6672218114629282E-5</v>
      </c>
      <c r="I689" s="331">
        <v>532258</v>
      </c>
      <c r="J689" s="331">
        <v>0</v>
      </c>
      <c r="K689" s="331">
        <f t="shared" si="32"/>
        <v>532258</v>
      </c>
      <c r="L689" s="199">
        <v>3.1</v>
      </c>
      <c r="M689" s="199">
        <v>2.4900000000000002</v>
      </c>
    </row>
    <row r="690" spans="1:13" ht="15" customHeight="1" x14ac:dyDescent="0.25">
      <c r="A690" s="49">
        <v>1984</v>
      </c>
      <c r="B690" s="330" t="s">
        <v>21</v>
      </c>
      <c r="C690" s="331">
        <v>42209538202</v>
      </c>
      <c r="D690" s="331">
        <v>17477584162</v>
      </c>
      <c r="E690" s="331">
        <v>520234946</v>
      </c>
      <c r="F690" s="331">
        <v>338637</v>
      </c>
      <c r="G690" s="370">
        <f t="shared" si="30"/>
        <v>8.0227601254342676E-6</v>
      </c>
      <c r="H690" s="370">
        <f t="shared" si="31"/>
        <v>1.9375503894655483E-5</v>
      </c>
      <c r="I690" s="331">
        <v>782005</v>
      </c>
      <c r="J690" s="331">
        <v>0</v>
      </c>
      <c r="K690" s="331">
        <f t="shared" si="32"/>
        <v>782005</v>
      </c>
      <c r="L690" s="199">
        <v>2.98</v>
      </c>
      <c r="M690" s="199">
        <v>2.4900000000000002</v>
      </c>
    </row>
    <row r="691" spans="1:13" ht="15" customHeight="1" x14ac:dyDescent="0.25">
      <c r="A691" s="49">
        <v>1985</v>
      </c>
      <c r="B691" s="330" t="s">
        <v>21</v>
      </c>
      <c r="C691" s="331">
        <v>46257929887</v>
      </c>
      <c r="D691" s="331">
        <v>18444573178</v>
      </c>
      <c r="E691" s="331">
        <v>480300969</v>
      </c>
      <c r="F691" s="331">
        <v>402035</v>
      </c>
      <c r="G691" s="370">
        <f t="shared" si="30"/>
        <v>8.6911584885467395E-6</v>
      </c>
      <c r="H691" s="370">
        <f t="shared" si="31"/>
        <v>2.1796926180950197E-5</v>
      </c>
      <c r="I691" s="331">
        <v>930019</v>
      </c>
      <c r="J691" s="331">
        <v>0</v>
      </c>
      <c r="K691" s="331">
        <f t="shared" si="32"/>
        <v>930019</v>
      </c>
      <c r="L691" s="199">
        <v>2.6</v>
      </c>
      <c r="M691" s="199">
        <v>2.4900000000000002</v>
      </c>
    </row>
    <row r="692" spans="1:13" ht="15" customHeight="1" x14ac:dyDescent="0.25">
      <c r="A692" s="49">
        <v>1986</v>
      </c>
      <c r="B692" s="330" t="s">
        <v>21</v>
      </c>
      <c r="C692" s="331">
        <v>50500875870</v>
      </c>
      <c r="D692" s="331">
        <v>19460875178</v>
      </c>
      <c r="E692" s="331">
        <v>403665017</v>
      </c>
      <c r="F692" s="331">
        <v>448110</v>
      </c>
      <c r="G692" s="370">
        <f t="shared" si="30"/>
        <v>8.8733114481723139E-6</v>
      </c>
      <c r="H692" s="370">
        <f t="shared" si="31"/>
        <v>2.3026199793243442E-5</v>
      </c>
      <c r="I692" s="331">
        <v>990114</v>
      </c>
      <c r="J692" s="331">
        <v>0</v>
      </c>
      <c r="K692" s="331">
        <f t="shared" si="32"/>
        <v>990114</v>
      </c>
      <c r="L692" s="199">
        <v>2.0699999999999998</v>
      </c>
      <c r="M692" s="199">
        <v>2.4900000000000002</v>
      </c>
    </row>
    <row r="693" spans="1:13" ht="15" customHeight="1" x14ac:dyDescent="0.25">
      <c r="A693" s="49">
        <v>1987</v>
      </c>
      <c r="B693" s="330" t="s">
        <v>21</v>
      </c>
      <c r="C693" s="331">
        <v>55897255610</v>
      </c>
      <c r="D693" s="331">
        <v>20614539679</v>
      </c>
      <c r="E693" s="331">
        <v>423426211</v>
      </c>
      <c r="F693" s="331">
        <v>404428</v>
      </c>
      <c r="G693" s="370">
        <f t="shared" si="30"/>
        <v>7.2352031524003469E-6</v>
      </c>
      <c r="H693" s="370">
        <f t="shared" si="31"/>
        <v>1.9618580201040831E-5</v>
      </c>
      <c r="I693" s="331">
        <v>1096985</v>
      </c>
      <c r="J693" s="331">
        <v>0</v>
      </c>
      <c r="K693" s="331">
        <f t="shared" si="32"/>
        <v>1096985</v>
      </c>
      <c r="L693" s="199">
        <v>2.0499999999999998</v>
      </c>
      <c r="M693" s="199">
        <v>2.4900000000000002</v>
      </c>
    </row>
    <row r="694" spans="1:13" ht="15" customHeight="1" x14ac:dyDescent="0.25">
      <c r="A694" s="49">
        <v>1988</v>
      </c>
      <c r="B694" s="330" t="s">
        <v>21</v>
      </c>
      <c r="C694" s="331">
        <v>61561999986</v>
      </c>
      <c r="D694" s="331">
        <v>21634157765</v>
      </c>
      <c r="E694" s="331">
        <v>445178417</v>
      </c>
      <c r="F694" s="331">
        <v>505844</v>
      </c>
      <c r="G694" s="370">
        <f t="shared" si="30"/>
        <v>8.2168220674285364E-6</v>
      </c>
      <c r="H694" s="370">
        <f t="shared" si="31"/>
        <v>2.338172835266832E-5</v>
      </c>
      <c r="I694" s="331">
        <v>1132897</v>
      </c>
      <c r="J694" s="331">
        <v>0</v>
      </c>
      <c r="K694" s="331">
        <f t="shared" si="32"/>
        <v>1132897</v>
      </c>
      <c r="L694" s="199">
        <v>2.06</v>
      </c>
      <c r="M694" s="199">
        <v>2.4900000000000002</v>
      </c>
    </row>
    <row r="695" spans="1:13" ht="15" customHeight="1" x14ac:dyDescent="0.25">
      <c r="A695" s="49">
        <v>1989</v>
      </c>
      <c r="B695" s="330" t="s">
        <v>21</v>
      </c>
      <c r="C695" s="331">
        <v>63202719318</v>
      </c>
      <c r="D695" s="331">
        <v>21584029031</v>
      </c>
      <c r="E695" s="331">
        <v>466449281</v>
      </c>
      <c r="F695" s="331">
        <v>783672</v>
      </c>
      <c r="G695" s="370">
        <f t="shared" si="30"/>
        <v>1.2399339909047424E-5</v>
      </c>
      <c r="H695" s="370">
        <f t="shared" si="31"/>
        <v>3.6307957095241734E-5</v>
      </c>
      <c r="I695" s="331">
        <v>908928</v>
      </c>
      <c r="J695" s="331">
        <v>0</v>
      </c>
      <c r="K695" s="331">
        <f t="shared" si="32"/>
        <v>908928</v>
      </c>
      <c r="L695" s="199">
        <v>2.16</v>
      </c>
      <c r="M695" s="199">
        <v>2.4900000000000002</v>
      </c>
    </row>
    <row r="696" spans="1:13" ht="15" customHeight="1" x14ac:dyDescent="0.25">
      <c r="A696" s="49">
        <v>1990</v>
      </c>
      <c r="B696" s="330" t="s">
        <v>21</v>
      </c>
      <c r="C696" s="331">
        <v>63488853643</v>
      </c>
      <c r="D696" s="331">
        <v>20598913666</v>
      </c>
      <c r="E696" s="331">
        <v>510741454</v>
      </c>
      <c r="F696" s="331">
        <v>1090630</v>
      </c>
      <c r="G696" s="370">
        <f t="shared" si="30"/>
        <v>1.7178290950607642E-5</v>
      </c>
      <c r="H696" s="370">
        <f t="shared" si="31"/>
        <v>5.2945995972601405E-5</v>
      </c>
      <c r="I696" s="331">
        <v>381795</v>
      </c>
      <c r="J696" s="331">
        <v>0</v>
      </c>
      <c r="K696" s="331">
        <f t="shared" si="32"/>
        <v>381795</v>
      </c>
      <c r="L696" s="199">
        <v>2.48</v>
      </c>
      <c r="M696" s="199">
        <v>2.4900000000000002</v>
      </c>
    </row>
    <row r="697" spans="1:13" ht="15" customHeight="1" x14ac:dyDescent="0.25">
      <c r="A697" s="49">
        <v>1991</v>
      </c>
      <c r="B697" s="330" t="s">
        <v>21</v>
      </c>
      <c r="C697" s="331">
        <v>62041370673</v>
      </c>
      <c r="D697" s="331">
        <v>19288133892</v>
      </c>
      <c r="E697" s="331">
        <v>650947875</v>
      </c>
      <c r="F697" s="331">
        <v>1232369</v>
      </c>
      <c r="G697" s="370">
        <f t="shared" si="30"/>
        <v>1.9863664948594033E-5</v>
      </c>
      <c r="H697" s="370">
        <f t="shared" si="31"/>
        <v>6.3892598781219612E-5</v>
      </c>
      <c r="I697" s="331">
        <v>0</v>
      </c>
      <c r="J697" s="331">
        <v>234742</v>
      </c>
      <c r="K697" s="331">
        <f t="shared" si="32"/>
        <v>-234742</v>
      </c>
      <c r="L697" s="199">
        <v>3.37</v>
      </c>
      <c r="M697" s="199">
        <v>2.4500000000000002</v>
      </c>
    </row>
    <row r="698" spans="1:13" ht="15" customHeight="1" x14ac:dyDescent="0.25">
      <c r="A698" s="49">
        <v>1992</v>
      </c>
      <c r="B698" s="330" t="s">
        <v>21</v>
      </c>
      <c r="C698" s="331">
        <v>64965576642</v>
      </c>
      <c r="D698" s="331">
        <v>25741332788</v>
      </c>
      <c r="E698" s="331">
        <v>830833684</v>
      </c>
      <c r="F698" s="331">
        <v>969936</v>
      </c>
      <c r="G698" s="370">
        <f t="shared" si="30"/>
        <v>1.4929999087746726E-5</v>
      </c>
      <c r="H698" s="370">
        <f t="shared" si="31"/>
        <v>3.7680100249205481E-5</v>
      </c>
      <c r="I698" s="331">
        <v>0</v>
      </c>
      <c r="J698" s="331">
        <v>379918</v>
      </c>
      <c r="K698" s="331">
        <f t="shared" si="32"/>
        <v>-379918</v>
      </c>
      <c r="L698" s="199">
        <v>3.23</v>
      </c>
      <c r="M698" s="199">
        <v>2.4500000000000002</v>
      </c>
    </row>
    <row r="699" spans="1:13" ht="15" customHeight="1" x14ac:dyDescent="0.25">
      <c r="A699" s="49">
        <v>1993</v>
      </c>
      <c r="B699" s="330" t="s">
        <v>21</v>
      </c>
      <c r="C699" s="331">
        <v>66972922577</v>
      </c>
      <c r="D699" s="331">
        <v>26311560038</v>
      </c>
      <c r="E699" s="331">
        <v>1079660039</v>
      </c>
      <c r="F699" s="331">
        <v>761027</v>
      </c>
      <c r="G699" s="370">
        <f t="shared" si="30"/>
        <v>1.1363204272966187E-5</v>
      </c>
      <c r="H699" s="370">
        <f t="shared" si="31"/>
        <v>2.8923674571211299E-5</v>
      </c>
      <c r="I699" s="331">
        <v>0</v>
      </c>
      <c r="J699" s="331">
        <v>115987</v>
      </c>
      <c r="K699" s="331">
        <f t="shared" si="32"/>
        <v>-115987</v>
      </c>
      <c r="L699" s="199">
        <v>4.0999999999999996</v>
      </c>
      <c r="M699" s="199">
        <v>2.4500000000000002</v>
      </c>
    </row>
    <row r="700" spans="1:13" ht="15" customHeight="1" x14ac:dyDescent="0.25">
      <c r="A700" s="49">
        <v>1994</v>
      </c>
      <c r="B700" s="330" t="s">
        <v>21</v>
      </c>
      <c r="C700" s="331">
        <v>70336519372</v>
      </c>
      <c r="D700" s="331">
        <v>27195870756</v>
      </c>
      <c r="E700" s="331">
        <v>1073290267</v>
      </c>
      <c r="F700" s="331">
        <v>786759</v>
      </c>
      <c r="G700" s="370">
        <f t="shared" si="30"/>
        <v>1.1185640219683631E-5</v>
      </c>
      <c r="H700" s="370">
        <f t="shared" si="31"/>
        <v>2.8929355013441659E-5</v>
      </c>
      <c r="I700" s="331">
        <v>184933</v>
      </c>
      <c r="J700" s="331">
        <v>0</v>
      </c>
      <c r="K700" s="331">
        <f t="shared" si="32"/>
        <v>184933</v>
      </c>
      <c r="L700" s="199">
        <v>3.95</v>
      </c>
      <c r="M700" s="199">
        <v>2.4300000000000002</v>
      </c>
    </row>
    <row r="701" spans="1:13" x14ac:dyDescent="0.25">
      <c r="A701" s="49">
        <v>1995</v>
      </c>
      <c r="B701" s="330" t="s">
        <v>21</v>
      </c>
      <c r="C701" s="331">
        <v>75590958477</v>
      </c>
      <c r="D701" s="331">
        <v>28038339616</v>
      </c>
      <c r="E701" s="331">
        <v>1077766985</v>
      </c>
      <c r="F701" s="331">
        <v>731615</v>
      </c>
      <c r="G701" s="370">
        <f t="shared" si="30"/>
        <v>9.6786046207180698E-6</v>
      </c>
      <c r="H701" s="370">
        <f t="shared" si="31"/>
        <v>2.6093378210687838E-5</v>
      </c>
      <c r="I701" s="331">
        <v>527273</v>
      </c>
      <c r="J701" s="331">
        <v>0</v>
      </c>
      <c r="K701" s="331">
        <f t="shared" si="32"/>
        <v>527273</v>
      </c>
      <c r="L701" s="199">
        <v>3.84</v>
      </c>
      <c r="M701" s="199">
        <v>1.94</v>
      </c>
    </row>
    <row r="702" spans="1:13" ht="15" customHeight="1" x14ac:dyDescent="0.25">
      <c r="A702" s="49">
        <v>1996</v>
      </c>
      <c r="B702" s="330" t="s">
        <v>21</v>
      </c>
      <c r="C702" s="331">
        <v>81277902435</v>
      </c>
      <c r="D702" s="331">
        <v>29143908932</v>
      </c>
      <c r="E702" s="331">
        <v>1064199597</v>
      </c>
      <c r="F702" s="331">
        <v>719980</v>
      </c>
      <c r="G702" s="370">
        <f t="shared" si="30"/>
        <v>8.8582502553604447E-6</v>
      </c>
      <c r="H702" s="370">
        <f t="shared" si="31"/>
        <v>2.4704304480222359E-5</v>
      </c>
      <c r="I702" s="331">
        <v>914631</v>
      </c>
      <c r="J702" s="331">
        <v>0</v>
      </c>
      <c r="K702" s="331">
        <f t="shared" si="32"/>
        <v>914631</v>
      </c>
      <c r="L702" s="199">
        <v>3.65</v>
      </c>
      <c r="M702" s="199">
        <v>1.78</v>
      </c>
    </row>
    <row r="703" spans="1:13" ht="15" customHeight="1" x14ac:dyDescent="0.25">
      <c r="A703" s="49">
        <v>1997</v>
      </c>
      <c r="B703" s="330" t="s">
        <v>21</v>
      </c>
      <c r="C703" s="331">
        <v>88519344403</v>
      </c>
      <c r="D703" s="331">
        <v>30523021339</v>
      </c>
      <c r="E703" s="331">
        <v>1154491321</v>
      </c>
      <c r="F703" s="331">
        <v>686083</v>
      </c>
      <c r="G703" s="370">
        <f t="shared" si="30"/>
        <v>7.7506561376741059E-6</v>
      </c>
      <c r="H703" s="370">
        <f t="shared" si="31"/>
        <v>2.2477558573907466E-5</v>
      </c>
      <c r="I703" s="331">
        <v>1446164</v>
      </c>
      <c r="J703" s="331">
        <v>0</v>
      </c>
      <c r="K703" s="331">
        <f t="shared" si="32"/>
        <v>1446164</v>
      </c>
      <c r="L703" s="199">
        <v>3.78</v>
      </c>
      <c r="M703" s="199">
        <v>1.75</v>
      </c>
    </row>
    <row r="704" spans="1:13" ht="15" customHeight="1" x14ac:dyDescent="0.25">
      <c r="A704" s="49">
        <v>1998</v>
      </c>
      <c r="B704" s="330" t="s">
        <v>21</v>
      </c>
      <c r="C704" s="331">
        <v>96933984017</v>
      </c>
      <c r="D704" s="331">
        <v>31906552803</v>
      </c>
      <c r="E704" s="331">
        <v>910925637</v>
      </c>
      <c r="F704" s="331">
        <v>694415</v>
      </c>
      <c r="G704" s="370">
        <f t="shared" si="30"/>
        <v>7.1637930395826458E-6</v>
      </c>
      <c r="H704" s="370">
        <f t="shared" si="31"/>
        <v>2.1764024596687483E-5</v>
      </c>
      <c r="I704" s="331">
        <v>1802999</v>
      </c>
      <c r="J704" s="331">
        <v>0</v>
      </c>
      <c r="K704" s="331">
        <f t="shared" si="32"/>
        <v>1802999</v>
      </c>
      <c r="L704" s="199">
        <v>2.85</v>
      </c>
      <c r="M704" s="199">
        <v>1.75</v>
      </c>
    </row>
    <row r="705" spans="1:13" ht="15" customHeight="1" x14ac:dyDescent="0.25">
      <c r="A705" s="49">
        <v>1999</v>
      </c>
      <c r="B705" s="330" t="s">
        <v>21</v>
      </c>
      <c r="C705" s="331">
        <v>106278669891</v>
      </c>
      <c r="D705" s="331">
        <v>33039181751</v>
      </c>
      <c r="E705" s="331">
        <v>767253468</v>
      </c>
      <c r="F705" s="331">
        <v>776857</v>
      </c>
      <c r="G705" s="370">
        <f t="shared" si="30"/>
        <v>7.3096229073693611E-6</v>
      </c>
      <c r="H705" s="370">
        <f t="shared" si="31"/>
        <v>2.3513203379393218E-5</v>
      </c>
      <c r="I705" s="331">
        <v>1921621</v>
      </c>
      <c r="J705" s="331">
        <v>0</v>
      </c>
      <c r="K705" s="331">
        <f t="shared" si="32"/>
        <v>1921621</v>
      </c>
      <c r="L705" s="199">
        <v>2.3199999999999998</v>
      </c>
      <c r="M705" s="199">
        <v>1.75</v>
      </c>
    </row>
    <row r="706" spans="1:13" ht="15" customHeight="1" x14ac:dyDescent="0.25">
      <c r="A706" s="49">
        <v>2000</v>
      </c>
      <c r="B706" s="330" t="s">
        <v>21</v>
      </c>
      <c r="C706" s="331">
        <v>121029860915</v>
      </c>
      <c r="D706" s="331">
        <v>35016282253</v>
      </c>
      <c r="E706" s="331">
        <v>820936837</v>
      </c>
      <c r="F706" s="331">
        <v>745331</v>
      </c>
      <c r="G706" s="370">
        <f t="shared" ref="G706:G769" si="33">F706/C706</f>
        <v>6.1582405727413867E-6</v>
      </c>
      <c r="H706" s="370">
        <f t="shared" ref="H706:H769" si="34">F706/D706</f>
        <v>2.1285269367399626E-5</v>
      </c>
      <c r="I706" s="331">
        <v>2131041</v>
      </c>
      <c r="J706" s="331">
        <v>0</v>
      </c>
      <c r="K706" s="331">
        <f t="shared" ref="K706:K769" si="35">I706-J706</f>
        <v>2131041</v>
      </c>
      <c r="L706" s="199">
        <v>2.34</v>
      </c>
      <c r="M706" s="199">
        <v>1.75</v>
      </c>
    </row>
    <row r="707" spans="1:13" ht="15" customHeight="1" x14ac:dyDescent="0.25">
      <c r="A707" s="49">
        <v>2001</v>
      </c>
      <c r="B707" s="330" t="s">
        <v>21</v>
      </c>
      <c r="C707" s="331">
        <v>121863471984</v>
      </c>
      <c r="D707" s="331">
        <v>35041424966</v>
      </c>
      <c r="E707" s="331">
        <v>804626499</v>
      </c>
      <c r="F707" s="331">
        <v>1319390</v>
      </c>
      <c r="G707" s="370">
        <f t="shared" si="33"/>
        <v>1.0826788196000427E-5</v>
      </c>
      <c r="H707" s="370">
        <f t="shared" si="34"/>
        <v>3.7652293001217213E-5</v>
      </c>
      <c r="I707" s="331">
        <v>1770487</v>
      </c>
      <c r="J707" s="331">
        <v>0</v>
      </c>
      <c r="K707" s="331">
        <f t="shared" si="35"/>
        <v>1770487</v>
      </c>
      <c r="L707" s="199">
        <v>2.2999999999999998</v>
      </c>
      <c r="M707" s="199">
        <v>1.75</v>
      </c>
    </row>
    <row r="708" spans="1:13" ht="15" customHeight="1" x14ac:dyDescent="0.25">
      <c r="A708" s="49">
        <v>2002</v>
      </c>
      <c r="B708" s="330" t="s">
        <v>21</v>
      </c>
      <c r="C708" s="331">
        <v>116794699876</v>
      </c>
      <c r="D708" s="331">
        <v>33723251685</v>
      </c>
      <c r="E708" s="331">
        <v>779194931</v>
      </c>
      <c r="F708" s="331">
        <v>1886573</v>
      </c>
      <c r="G708" s="370">
        <f t="shared" si="33"/>
        <v>1.6152899078493798E-5</v>
      </c>
      <c r="H708" s="370">
        <f t="shared" si="34"/>
        <v>5.5942796312229346E-5</v>
      </c>
      <c r="I708" s="331">
        <v>919995</v>
      </c>
      <c r="J708" s="331">
        <v>0</v>
      </c>
      <c r="K708" s="331">
        <f t="shared" si="35"/>
        <v>919995</v>
      </c>
      <c r="L708" s="199">
        <v>2.31</v>
      </c>
      <c r="M708" s="199">
        <v>1.79</v>
      </c>
    </row>
    <row r="709" spans="1:13" ht="15" customHeight="1" x14ac:dyDescent="0.25">
      <c r="A709" s="49">
        <v>2003</v>
      </c>
      <c r="B709" s="330" t="s">
        <v>21</v>
      </c>
      <c r="C709" s="331">
        <v>116684006159</v>
      </c>
      <c r="D709" s="331">
        <v>33111860145</v>
      </c>
      <c r="E709" s="331">
        <v>825728921</v>
      </c>
      <c r="F709" s="331">
        <v>1689460</v>
      </c>
      <c r="G709" s="370">
        <f t="shared" si="33"/>
        <v>1.4478933794044143E-5</v>
      </c>
      <c r="H709" s="370">
        <f t="shared" si="34"/>
        <v>5.102280550236964E-5</v>
      </c>
      <c r="I709" s="331">
        <v>57975</v>
      </c>
      <c r="J709" s="331">
        <v>0</v>
      </c>
      <c r="K709" s="331">
        <f t="shared" si="35"/>
        <v>57975</v>
      </c>
      <c r="L709" s="199">
        <v>2.4900000000000002</v>
      </c>
      <c r="M709" s="199">
        <v>1.79</v>
      </c>
    </row>
    <row r="710" spans="1:13" ht="15" customHeight="1" x14ac:dyDescent="0.25">
      <c r="A710" s="49">
        <v>2004</v>
      </c>
      <c r="B710" s="330" t="s">
        <v>21</v>
      </c>
      <c r="C710" s="331">
        <v>123502754818</v>
      </c>
      <c r="D710" s="331">
        <v>39829988149</v>
      </c>
      <c r="E710" s="331">
        <v>1507056754</v>
      </c>
      <c r="F710" s="331">
        <v>1372966</v>
      </c>
      <c r="G710" s="370">
        <f t="shared" si="33"/>
        <v>1.1116885627557647E-5</v>
      </c>
      <c r="H710" s="370">
        <f t="shared" si="34"/>
        <v>3.4470660520004964E-5</v>
      </c>
      <c r="I710" s="331">
        <v>115863</v>
      </c>
      <c r="J710" s="331">
        <v>0</v>
      </c>
      <c r="K710" s="331">
        <f t="shared" si="35"/>
        <v>115863</v>
      </c>
      <c r="L710" s="199">
        <v>3.79</v>
      </c>
      <c r="M710" s="199">
        <v>1.79</v>
      </c>
    </row>
    <row r="711" spans="1:13" ht="15" customHeight="1" x14ac:dyDescent="0.25">
      <c r="A711" s="49">
        <v>2005</v>
      </c>
      <c r="B711" s="330" t="s">
        <v>21</v>
      </c>
      <c r="C711" s="331">
        <v>126813661013</v>
      </c>
      <c r="D711" s="331">
        <v>40323935546</v>
      </c>
      <c r="E711" s="331">
        <v>1641933996</v>
      </c>
      <c r="F711" s="331">
        <v>1223056</v>
      </c>
      <c r="G711" s="370">
        <f t="shared" si="33"/>
        <v>9.6445129825139377E-6</v>
      </c>
      <c r="H711" s="370">
        <f t="shared" si="34"/>
        <v>3.0330769639406466E-5</v>
      </c>
      <c r="I711" s="331">
        <v>556569</v>
      </c>
      <c r="J711" s="331">
        <v>0</v>
      </c>
      <c r="K711" s="331">
        <f t="shared" si="35"/>
        <v>556569</v>
      </c>
      <c r="L711" s="199">
        <v>4.07</v>
      </c>
      <c r="M711" s="199">
        <v>1.79</v>
      </c>
    </row>
    <row r="712" spans="1:13" ht="15" customHeight="1" x14ac:dyDescent="0.25">
      <c r="A712" s="49">
        <v>2006</v>
      </c>
      <c r="B712" s="330" t="s">
        <v>21</v>
      </c>
      <c r="C712" s="331">
        <v>134167054150</v>
      </c>
      <c r="D712" s="331">
        <v>41170266119</v>
      </c>
      <c r="E712" s="331">
        <v>1582633790</v>
      </c>
      <c r="F712" s="331">
        <v>1181333</v>
      </c>
      <c r="G712" s="370">
        <f t="shared" si="33"/>
        <v>8.8049410303013652E-6</v>
      </c>
      <c r="H712" s="370">
        <f t="shared" si="34"/>
        <v>2.8693839301048797E-5</v>
      </c>
      <c r="I712" s="331">
        <v>994345</v>
      </c>
      <c r="J712" s="331">
        <v>0</v>
      </c>
      <c r="K712" s="331">
        <f t="shared" si="35"/>
        <v>994345</v>
      </c>
      <c r="L712" s="199">
        <v>3.84</v>
      </c>
      <c r="M712" s="199">
        <v>1.79</v>
      </c>
    </row>
    <row r="713" spans="1:13" ht="15" customHeight="1" x14ac:dyDescent="0.25">
      <c r="A713" s="49">
        <v>2007</v>
      </c>
      <c r="B713" s="330" t="s">
        <v>21</v>
      </c>
      <c r="C713" s="331">
        <v>142943777869</v>
      </c>
      <c r="D713" s="331">
        <v>41792131365</v>
      </c>
      <c r="E713" s="331">
        <v>1488231664</v>
      </c>
      <c r="F713" s="331">
        <v>1279482</v>
      </c>
      <c r="G713" s="370">
        <f t="shared" si="33"/>
        <v>8.9509457429659787E-6</v>
      </c>
      <c r="H713" s="370">
        <f t="shared" si="34"/>
        <v>3.0615380412771634E-5</v>
      </c>
      <c r="I713" s="331">
        <v>1290297</v>
      </c>
      <c r="J713" s="331">
        <v>0</v>
      </c>
      <c r="K713" s="331">
        <f t="shared" si="35"/>
        <v>1290297</v>
      </c>
      <c r="L713" s="199">
        <v>3.56</v>
      </c>
      <c r="M713" s="199">
        <v>1.79</v>
      </c>
    </row>
    <row r="714" spans="1:13" ht="15" customHeight="1" x14ac:dyDescent="0.25">
      <c r="A714" s="49">
        <v>2008</v>
      </c>
      <c r="B714" s="330" t="s">
        <v>21</v>
      </c>
      <c r="C714" s="331">
        <v>145952314774</v>
      </c>
      <c r="D714" s="331">
        <v>41954750823</v>
      </c>
      <c r="E714" s="331">
        <v>1412409617</v>
      </c>
      <c r="F714" s="331">
        <v>1498916</v>
      </c>
      <c r="G714" s="370">
        <f t="shared" si="33"/>
        <v>1.0269902209642909E-5</v>
      </c>
      <c r="H714" s="370">
        <f t="shared" si="34"/>
        <v>3.5726967044177507E-5</v>
      </c>
      <c r="I714" s="331">
        <v>1241756</v>
      </c>
      <c r="J714" s="331">
        <v>0</v>
      </c>
      <c r="K714" s="331">
        <f t="shared" si="35"/>
        <v>1241756</v>
      </c>
      <c r="L714" s="199">
        <v>3.4</v>
      </c>
      <c r="M714" s="199">
        <v>1.79</v>
      </c>
    </row>
    <row r="715" spans="1:13" ht="15" customHeight="1" x14ac:dyDescent="0.25">
      <c r="A715" s="49">
        <v>2009</v>
      </c>
      <c r="B715" s="330" t="s">
        <v>21</v>
      </c>
      <c r="C715" s="331">
        <v>137182562267</v>
      </c>
      <c r="D715" s="331">
        <v>39871972749</v>
      </c>
      <c r="E715" s="331">
        <v>1435607948</v>
      </c>
      <c r="F715" s="331">
        <v>2592970</v>
      </c>
      <c r="G715" s="370">
        <f t="shared" si="33"/>
        <v>1.8901600590848221E-5</v>
      </c>
      <c r="H715" s="370">
        <f t="shared" si="34"/>
        <v>6.5032397978478064E-5</v>
      </c>
      <c r="I715" s="331">
        <v>234162</v>
      </c>
      <c r="J715" s="331">
        <v>0</v>
      </c>
      <c r="K715" s="331">
        <f t="shared" si="35"/>
        <v>234162</v>
      </c>
      <c r="L715" s="199">
        <v>3.6</v>
      </c>
      <c r="M715" s="199">
        <v>1.88</v>
      </c>
    </row>
    <row r="716" spans="1:13" ht="15" customHeight="1" x14ac:dyDescent="0.25">
      <c r="A716" s="49">
        <v>2010</v>
      </c>
      <c r="B716" s="330" t="s">
        <v>21</v>
      </c>
      <c r="C716" s="331">
        <v>141405628030</v>
      </c>
      <c r="D716" s="331">
        <v>40520236600</v>
      </c>
      <c r="E716" s="331">
        <v>1644399903</v>
      </c>
      <c r="F716" s="331">
        <v>1806613</v>
      </c>
      <c r="G716" s="370">
        <f t="shared" si="33"/>
        <v>1.2776103930012721E-5</v>
      </c>
      <c r="H716" s="370">
        <f t="shared" si="34"/>
        <v>4.4585450421580216E-5</v>
      </c>
      <c r="I716" s="331">
        <v>18223</v>
      </c>
      <c r="J716" s="331">
        <v>0</v>
      </c>
      <c r="K716" s="331">
        <f t="shared" si="35"/>
        <v>18223</v>
      </c>
      <c r="L716" s="199">
        <v>4.0999999999999996</v>
      </c>
      <c r="M716" s="199">
        <v>1.88</v>
      </c>
    </row>
    <row r="717" spans="1:13" ht="15" customHeight="1" x14ac:dyDescent="0.25">
      <c r="A717" s="49">
        <v>2011</v>
      </c>
      <c r="B717" s="330" t="s">
        <v>21</v>
      </c>
      <c r="C717" s="331">
        <v>148772206862</v>
      </c>
      <c r="D717" s="331">
        <v>41614258493</v>
      </c>
      <c r="E717" s="331">
        <v>1778277214</v>
      </c>
      <c r="F717" s="331">
        <v>1572888</v>
      </c>
      <c r="G717" s="370">
        <f t="shared" si="33"/>
        <v>1.0572458614255816E-5</v>
      </c>
      <c r="H717" s="370">
        <f t="shared" si="34"/>
        <v>3.7796852736534476E-5</v>
      </c>
      <c r="I717" s="331">
        <v>193845</v>
      </c>
      <c r="J717" s="331">
        <v>0</v>
      </c>
      <c r="K717" s="331">
        <f t="shared" si="35"/>
        <v>193845</v>
      </c>
      <c r="L717" s="199">
        <v>4.3</v>
      </c>
      <c r="M717" s="199">
        <v>1.88</v>
      </c>
    </row>
    <row r="718" spans="1:13" ht="15" customHeight="1" x14ac:dyDescent="0.25">
      <c r="A718" s="49">
        <v>2012</v>
      </c>
      <c r="B718" s="330" t="s">
        <v>21</v>
      </c>
      <c r="C718" s="331">
        <v>154784102057</v>
      </c>
      <c r="D718" s="331">
        <v>42556421739</v>
      </c>
      <c r="E718" s="331">
        <v>1771025278</v>
      </c>
      <c r="F718" s="331">
        <v>1581723</v>
      </c>
      <c r="G718" s="370">
        <f t="shared" si="33"/>
        <v>1.0218898316944222E-5</v>
      </c>
      <c r="H718" s="370">
        <f t="shared" si="34"/>
        <v>3.7167669070035105E-5</v>
      </c>
      <c r="I718" s="331">
        <v>380653</v>
      </c>
      <c r="J718" s="331">
        <v>0</v>
      </c>
      <c r="K718" s="331">
        <f t="shared" si="35"/>
        <v>380653</v>
      </c>
      <c r="L718" s="199">
        <v>4.16</v>
      </c>
      <c r="M718" s="199">
        <v>1.88</v>
      </c>
    </row>
    <row r="719" spans="1:13" ht="15" customHeight="1" x14ac:dyDescent="0.25">
      <c r="A719" s="49">
        <v>2013</v>
      </c>
      <c r="B719" s="330" t="s">
        <v>21</v>
      </c>
      <c r="C719" s="331">
        <v>159580403069</v>
      </c>
      <c r="D719" s="331">
        <v>43876043716</v>
      </c>
      <c r="E719" s="331">
        <v>1748010145</v>
      </c>
      <c r="F719" s="331">
        <v>1467040</v>
      </c>
      <c r="G719" s="370">
        <f t="shared" si="33"/>
        <v>9.1931087513651383E-6</v>
      </c>
      <c r="H719" s="370">
        <f t="shared" si="34"/>
        <v>3.3436013727578261E-5</v>
      </c>
      <c r="I719" s="331">
        <v>707302</v>
      </c>
      <c r="J719" s="331">
        <v>0</v>
      </c>
      <c r="K719" s="331">
        <f t="shared" si="35"/>
        <v>707302</v>
      </c>
      <c r="L719" s="199">
        <v>3.98</v>
      </c>
      <c r="M719" s="199">
        <v>1.88</v>
      </c>
    </row>
    <row r="720" spans="1:13" ht="15" customHeight="1" x14ac:dyDescent="0.25">
      <c r="A720" s="49">
        <v>2014</v>
      </c>
      <c r="B720" s="330" t="s">
        <v>21</v>
      </c>
      <c r="C720" s="331">
        <v>169309120472</v>
      </c>
      <c r="D720" s="331">
        <v>45344515621</v>
      </c>
      <c r="E720" s="331">
        <v>1702049289</v>
      </c>
      <c r="F720" s="331">
        <v>1497213</v>
      </c>
      <c r="G720" s="370">
        <f t="shared" si="33"/>
        <v>8.8430735203518225E-6</v>
      </c>
      <c r="H720" s="370">
        <f t="shared" si="34"/>
        <v>3.3018612714138447E-5</v>
      </c>
      <c r="I720" s="331">
        <v>949290</v>
      </c>
      <c r="J720" s="331">
        <v>0</v>
      </c>
      <c r="K720" s="331">
        <f t="shared" si="35"/>
        <v>949290</v>
      </c>
      <c r="L720" s="333">
        <v>3.7535945983547903</v>
      </c>
      <c r="M720" s="199">
        <v>1.88</v>
      </c>
    </row>
    <row r="721" spans="1:13" ht="15" customHeight="1" x14ac:dyDescent="0.25">
      <c r="A721" s="49">
        <v>2015</v>
      </c>
      <c r="B721" s="330" t="s">
        <v>21</v>
      </c>
      <c r="C721" s="334">
        <v>180645057000</v>
      </c>
      <c r="D721" s="334">
        <v>49454759000</v>
      </c>
      <c r="E721" s="334">
        <v>1327553000</v>
      </c>
      <c r="F721" s="331">
        <v>1337340</v>
      </c>
      <c r="G721" s="370">
        <f t="shared" si="33"/>
        <v>7.4031364168464352E-6</v>
      </c>
      <c r="H721" s="370">
        <f t="shared" si="34"/>
        <v>2.7041684704196011E-5</v>
      </c>
      <c r="I721" s="331">
        <v>925787</v>
      </c>
      <c r="J721" s="199">
        <v>0</v>
      </c>
      <c r="K721" s="331">
        <f t="shared" si="35"/>
        <v>925787</v>
      </c>
      <c r="L721" s="199">
        <v>2.6</v>
      </c>
      <c r="M721" s="199">
        <v>1.88</v>
      </c>
    </row>
    <row r="722" spans="1:13" ht="15" customHeight="1" x14ac:dyDescent="0.25">
      <c r="A722" s="49">
        <v>1980</v>
      </c>
      <c r="B722" s="330" t="s">
        <v>22</v>
      </c>
      <c r="C722" s="331">
        <v>16309233850</v>
      </c>
      <c r="D722" s="331">
        <v>7039253275</v>
      </c>
      <c r="E722" s="331">
        <v>262702461</v>
      </c>
      <c r="F722" s="331">
        <v>178487</v>
      </c>
      <c r="G722" s="370">
        <f t="shared" si="33"/>
        <v>1.0943923034128301E-5</v>
      </c>
      <c r="H722" s="370">
        <f t="shared" si="34"/>
        <v>2.5355956523669763E-5</v>
      </c>
      <c r="I722" s="331">
        <v>396248</v>
      </c>
      <c r="J722" s="331">
        <v>0</v>
      </c>
      <c r="K722" s="331">
        <f t="shared" si="35"/>
        <v>396248</v>
      </c>
      <c r="L722" s="199">
        <v>3.73</v>
      </c>
      <c r="M722" s="199">
        <v>1.68</v>
      </c>
    </row>
    <row r="723" spans="1:13" ht="15" customHeight="1" x14ac:dyDescent="0.25">
      <c r="A723" s="49">
        <v>1981</v>
      </c>
      <c r="B723" s="330" t="s">
        <v>22</v>
      </c>
      <c r="C723" s="331">
        <v>17941824436</v>
      </c>
      <c r="D723" s="331">
        <v>7306095565</v>
      </c>
      <c r="E723" s="331">
        <v>178000465</v>
      </c>
      <c r="F723" s="331">
        <v>197226</v>
      </c>
      <c r="G723" s="370">
        <f t="shared" si="33"/>
        <v>1.0992527582884436E-5</v>
      </c>
      <c r="H723" s="370">
        <f t="shared" si="34"/>
        <v>2.6994719442873863E-5</v>
      </c>
      <c r="I723" s="331">
        <v>427428</v>
      </c>
      <c r="J723" s="331">
        <v>0</v>
      </c>
      <c r="K723" s="331">
        <f t="shared" si="35"/>
        <v>427428</v>
      </c>
      <c r="L723" s="199">
        <v>2.44</v>
      </c>
      <c r="M723" s="199">
        <v>1.54</v>
      </c>
    </row>
    <row r="724" spans="1:13" ht="15" customHeight="1" x14ac:dyDescent="0.25">
      <c r="A724" s="49">
        <v>1982</v>
      </c>
      <c r="B724" s="330" t="s">
        <v>22</v>
      </c>
      <c r="C724" s="331">
        <v>18759061292</v>
      </c>
      <c r="D724" s="331">
        <v>7224069363</v>
      </c>
      <c r="E724" s="331">
        <v>100155676</v>
      </c>
      <c r="F724" s="331">
        <v>321995</v>
      </c>
      <c r="G724" s="370">
        <f t="shared" si="33"/>
        <v>1.7164771466326951E-5</v>
      </c>
      <c r="H724" s="370">
        <f t="shared" si="34"/>
        <v>4.4572523299566223E-5</v>
      </c>
      <c r="I724" s="331">
        <v>219984</v>
      </c>
      <c r="J724" s="331">
        <v>0</v>
      </c>
      <c r="K724" s="331">
        <f t="shared" si="35"/>
        <v>219984</v>
      </c>
      <c r="L724" s="199">
        <v>1.39</v>
      </c>
      <c r="M724" s="199">
        <v>1.68</v>
      </c>
    </row>
    <row r="725" spans="1:13" ht="15" customHeight="1" x14ac:dyDescent="0.25">
      <c r="A725" s="49">
        <v>1983</v>
      </c>
      <c r="B725" s="330" t="s">
        <v>22</v>
      </c>
      <c r="C725" s="331">
        <v>20567644417</v>
      </c>
      <c r="D725" s="331">
        <v>8493110636</v>
      </c>
      <c r="E725" s="331">
        <v>168209275</v>
      </c>
      <c r="F725" s="331">
        <v>275371</v>
      </c>
      <c r="G725" s="370">
        <f t="shared" si="33"/>
        <v>1.3388553128251993E-5</v>
      </c>
      <c r="H725" s="370">
        <f t="shared" si="34"/>
        <v>3.2422867404173067E-5</v>
      </c>
      <c r="I725" s="331">
        <v>102422</v>
      </c>
      <c r="J725" s="331">
        <v>0</v>
      </c>
      <c r="K725" s="331">
        <f t="shared" si="35"/>
        <v>102422</v>
      </c>
      <c r="L725" s="199">
        <v>1.98</v>
      </c>
      <c r="M725" s="199">
        <v>1.69</v>
      </c>
    </row>
    <row r="726" spans="1:13" ht="15" customHeight="1" x14ac:dyDescent="0.25">
      <c r="A726" s="49">
        <v>1984</v>
      </c>
      <c r="B726" s="330" t="s">
        <v>22</v>
      </c>
      <c r="C726" s="331">
        <v>23090223804</v>
      </c>
      <c r="D726" s="331">
        <v>9211778474</v>
      </c>
      <c r="E726" s="331">
        <v>304015807</v>
      </c>
      <c r="F726" s="331">
        <v>189106</v>
      </c>
      <c r="G726" s="370">
        <f t="shared" si="33"/>
        <v>8.1898729785044574E-6</v>
      </c>
      <c r="H726" s="370">
        <f t="shared" si="34"/>
        <v>2.0528717720877316E-5</v>
      </c>
      <c r="I726" s="331">
        <v>228017</v>
      </c>
      <c r="J726" s="331">
        <v>0</v>
      </c>
      <c r="K726" s="331">
        <f t="shared" si="35"/>
        <v>228017</v>
      </c>
      <c r="L726" s="199">
        <v>3.3</v>
      </c>
      <c r="M726" s="199">
        <v>1.69</v>
      </c>
    </row>
    <row r="727" spans="1:13" ht="15" customHeight="1" x14ac:dyDescent="0.25">
      <c r="A727" s="49">
        <v>1985</v>
      </c>
      <c r="B727" s="330" t="s">
        <v>22</v>
      </c>
      <c r="C727" s="331">
        <v>25603692597</v>
      </c>
      <c r="D727" s="331">
        <v>9895919627</v>
      </c>
      <c r="E727" s="331">
        <v>325493994</v>
      </c>
      <c r="F727" s="331">
        <v>198752</v>
      </c>
      <c r="G727" s="370">
        <f t="shared" si="33"/>
        <v>7.7626303021341497E-6</v>
      </c>
      <c r="H727" s="370">
        <f t="shared" si="34"/>
        <v>2.0084237492968877E-5</v>
      </c>
      <c r="I727" s="331">
        <v>383577</v>
      </c>
      <c r="J727" s="331">
        <v>0</v>
      </c>
      <c r="K727" s="331">
        <f t="shared" si="35"/>
        <v>383577</v>
      </c>
      <c r="L727" s="199">
        <v>3.29</v>
      </c>
      <c r="M727" s="199">
        <v>1.69</v>
      </c>
    </row>
    <row r="728" spans="1:13" ht="15" customHeight="1" x14ac:dyDescent="0.25">
      <c r="A728" s="49">
        <v>1986</v>
      </c>
      <c r="B728" s="330" t="s">
        <v>22</v>
      </c>
      <c r="C728" s="331">
        <v>28108580778</v>
      </c>
      <c r="D728" s="331">
        <v>10493491776</v>
      </c>
      <c r="E728" s="331">
        <v>289953218</v>
      </c>
      <c r="F728" s="331">
        <v>206445</v>
      </c>
      <c r="G728" s="370">
        <f t="shared" si="33"/>
        <v>7.3445543775579092E-6</v>
      </c>
      <c r="H728" s="370">
        <f t="shared" si="34"/>
        <v>1.9673622889967564E-5</v>
      </c>
      <c r="I728" s="331">
        <v>525696</v>
      </c>
      <c r="J728" s="331">
        <v>0</v>
      </c>
      <c r="K728" s="331">
        <f t="shared" si="35"/>
        <v>525696</v>
      </c>
      <c r="L728" s="199">
        <v>2.76</v>
      </c>
      <c r="M728" s="199">
        <v>1.69</v>
      </c>
    </row>
    <row r="729" spans="1:13" ht="15" customHeight="1" x14ac:dyDescent="0.25">
      <c r="A729" s="49">
        <v>1987</v>
      </c>
      <c r="B729" s="330" t="s">
        <v>22</v>
      </c>
      <c r="C729" s="331">
        <v>31340250587</v>
      </c>
      <c r="D729" s="331">
        <v>11274540573</v>
      </c>
      <c r="E729" s="331">
        <v>167981068</v>
      </c>
      <c r="F729" s="331">
        <v>186294</v>
      </c>
      <c r="G729" s="370">
        <f t="shared" si="33"/>
        <v>5.9442409205647871E-6</v>
      </c>
      <c r="H729" s="370">
        <f t="shared" si="34"/>
        <v>1.6523422732286975E-5</v>
      </c>
      <c r="I729" s="331">
        <v>555843</v>
      </c>
      <c r="J729" s="331">
        <v>0</v>
      </c>
      <c r="K729" s="331">
        <f t="shared" si="35"/>
        <v>555843</v>
      </c>
      <c r="L729" s="199">
        <v>1.49</v>
      </c>
      <c r="M729" s="199">
        <v>1.69</v>
      </c>
    </row>
    <row r="730" spans="1:13" ht="15" customHeight="1" x14ac:dyDescent="0.25">
      <c r="A730" s="49">
        <v>1988</v>
      </c>
      <c r="B730" s="330" t="s">
        <v>22</v>
      </c>
      <c r="C730" s="331">
        <v>34506889314</v>
      </c>
      <c r="D730" s="331">
        <v>11848885321</v>
      </c>
      <c r="E730" s="331">
        <v>159409161</v>
      </c>
      <c r="F730" s="331">
        <v>177193</v>
      </c>
      <c r="G730" s="370">
        <f t="shared" si="33"/>
        <v>5.1350035753037281E-6</v>
      </c>
      <c r="H730" s="370">
        <f t="shared" si="34"/>
        <v>1.4954402477502043E-5</v>
      </c>
      <c r="I730" s="331">
        <v>586244</v>
      </c>
      <c r="J730" s="331">
        <v>0</v>
      </c>
      <c r="K730" s="331">
        <f t="shared" si="35"/>
        <v>586244</v>
      </c>
      <c r="L730" s="199">
        <v>1.35</v>
      </c>
      <c r="M730" s="199">
        <v>1.69</v>
      </c>
    </row>
    <row r="731" spans="1:13" ht="15" customHeight="1" x14ac:dyDescent="0.25">
      <c r="A731" s="49">
        <v>1989</v>
      </c>
      <c r="B731" s="330" t="s">
        <v>22</v>
      </c>
      <c r="C731" s="331">
        <v>36608339807</v>
      </c>
      <c r="D731" s="331">
        <v>12196923019</v>
      </c>
      <c r="E731" s="331">
        <v>147608736</v>
      </c>
      <c r="F731" s="331">
        <v>191434</v>
      </c>
      <c r="G731" s="370">
        <f t="shared" si="33"/>
        <v>5.2292456038499537E-6</v>
      </c>
      <c r="H731" s="370">
        <f t="shared" si="34"/>
        <v>1.5695270003900973E-5</v>
      </c>
      <c r="I731" s="331">
        <v>598335</v>
      </c>
      <c r="J731" s="331">
        <v>0</v>
      </c>
      <c r="K731" s="331">
        <f t="shared" si="35"/>
        <v>598335</v>
      </c>
      <c r="L731" s="199">
        <v>1.21</v>
      </c>
      <c r="M731" s="199">
        <v>1.69</v>
      </c>
    </row>
    <row r="732" spans="1:13" ht="15" customHeight="1" x14ac:dyDescent="0.25">
      <c r="A732" s="49">
        <v>1990</v>
      </c>
      <c r="B732" s="330" t="s">
        <v>22</v>
      </c>
      <c r="C732" s="331">
        <v>38489530316</v>
      </c>
      <c r="D732" s="331">
        <v>12238292833</v>
      </c>
      <c r="E732" s="331">
        <v>139452321</v>
      </c>
      <c r="F732" s="331">
        <v>268941</v>
      </c>
      <c r="G732" s="370">
        <f t="shared" si="33"/>
        <v>6.9873806666900771E-6</v>
      </c>
      <c r="H732" s="370">
        <f t="shared" si="34"/>
        <v>2.1975368923581631E-5</v>
      </c>
      <c r="I732" s="331">
        <v>520864</v>
      </c>
      <c r="J732" s="331">
        <v>0</v>
      </c>
      <c r="K732" s="331">
        <f t="shared" si="35"/>
        <v>520864</v>
      </c>
      <c r="L732" s="199">
        <v>1.1399999999999999</v>
      </c>
      <c r="M732" s="199">
        <v>1.69</v>
      </c>
    </row>
    <row r="733" spans="1:13" ht="15" customHeight="1" x14ac:dyDescent="0.25">
      <c r="A733" s="49">
        <v>1991</v>
      </c>
      <c r="B733" s="330" t="s">
        <v>22</v>
      </c>
      <c r="C733" s="331">
        <v>38100094450</v>
      </c>
      <c r="D733" s="331">
        <v>11636643510</v>
      </c>
      <c r="E733" s="331">
        <v>172258938</v>
      </c>
      <c r="F733" s="331">
        <v>483489</v>
      </c>
      <c r="G733" s="370">
        <f t="shared" si="33"/>
        <v>1.2689968541534678E-5</v>
      </c>
      <c r="H733" s="370">
        <f t="shared" si="34"/>
        <v>4.1548836619813231E-5</v>
      </c>
      <c r="I733" s="331">
        <v>224970</v>
      </c>
      <c r="J733" s="331">
        <v>0</v>
      </c>
      <c r="K733" s="331">
        <f t="shared" si="35"/>
        <v>224970</v>
      </c>
      <c r="L733" s="199">
        <v>1.48</v>
      </c>
      <c r="M733" s="199">
        <v>1.69</v>
      </c>
    </row>
    <row r="734" spans="1:13" ht="15" customHeight="1" x14ac:dyDescent="0.25">
      <c r="A734" s="49">
        <v>1992</v>
      </c>
      <c r="B734" s="330" t="s">
        <v>22</v>
      </c>
      <c r="C734" s="331">
        <v>39503235098</v>
      </c>
      <c r="D734" s="331">
        <v>11548229201</v>
      </c>
      <c r="E734" s="331">
        <v>374155186</v>
      </c>
      <c r="F734" s="331">
        <v>455516</v>
      </c>
      <c r="G734" s="370">
        <f t="shared" si="33"/>
        <v>1.1531106221299384E-5</v>
      </c>
      <c r="H734" s="370">
        <f t="shared" si="34"/>
        <v>3.9444662213714579E-5</v>
      </c>
      <c r="I734" s="331">
        <v>145839</v>
      </c>
      <c r="J734" s="331">
        <v>0</v>
      </c>
      <c r="K734" s="331">
        <f t="shared" si="35"/>
        <v>145839</v>
      </c>
      <c r="L734" s="199">
        <v>3.24</v>
      </c>
      <c r="M734" s="199">
        <v>1.69</v>
      </c>
    </row>
    <row r="735" spans="1:13" ht="15" customHeight="1" x14ac:dyDescent="0.25">
      <c r="A735" s="49">
        <v>1993</v>
      </c>
      <c r="B735" s="330" t="s">
        <v>22</v>
      </c>
      <c r="C735" s="331">
        <v>40643895780</v>
      </c>
      <c r="D735" s="331">
        <v>13529829765</v>
      </c>
      <c r="E735" s="331">
        <v>428373368</v>
      </c>
      <c r="F735" s="331">
        <v>363923</v>
      </c>
      <c r="G735" s="370">
        <f t="shared" si="33"/>
        <v>8.9539398971463463E-6</v>
      </c>
      <c r="H735" s="370">
        <f t="shared" si="34"/>
        <v>2.6897825495293656E-5</v>
      </c>
      <c r="I735" s="331">
        <v>219071</v>
      </c>
      <c r="J735" s="331">
        <v>0</v>
      </c>
      <c r="K735" s="331">
        <f t="shared" si="35"/>
        <v>219071</v>
      </c>
      <c r="L735" s="199">
        <v>3.17</v>
      </c>
      <c r="M735" s="199">
        <v>1.69</v>
      </c>
    </row>
    <row r="736" spans="1:13" x14ac:dyDescent="0.25">
      <c r="A736" s="49">
        <v>1994</v>
      </c>
      <c r="B736" s="330" t="s">
        <v>22</v>
      </c>
      <c r="C736" s="331">
        <v>42504909993</v>
      </c>
      <c r="D736" s="331">
        <v>14084944050</v>
      </c>
      <c r="E736" s="331">
        <v>500641377</v>
      </c>
      <c r="F736" s="331">
        <v>325363</v>
      </c>
      <c r="G736" s="370">
        <f t="shared" si="33"/>
        <v>7.6547156564637588E-6</v>
      </c>
      <c r="H736" s="370">
        <f t="shared" si="34"/>
        <v>2.3100056261849332E-5</v>
      </c>
      <c r="I736" s="331">
        <v>408994</v>
      </c>
      <c r="J736" s="331">
        <v>0</v>
      </c>
      <c r="K736" s="331">
        <f t="shared" si="35"/>
        <v>408994</v>
      </c>
      <c r="L736" s="199">
        <v>3.55</v>
      </c>
      <c r="M736" s="199">
        <v>1.69</v>
      </c>
    </row>
    <row r="737" spans="1:13" ht="15" customHeight="1" x14ac:dyDescent="0.25">
      <c r="A737" s="49">
        <v>1995</v>
      </c>
      <c r="B737" s="330" t="s">
        <v>22</v>
      </c>
      <c r="C737" s="331">
        <v>44448684598</v>
      </c>
      <c r="D737" s="331">
        <v>14435954039</v>
      </c>
      <c r="E737" s="331">
        <v>481866386</v>
      </c>
      <c r="F737" s="331">
        <v>331405</v>
      </c>
      <c r="G737" s="370">
        <f t="shared" si="33"/>
        <v>7.4559011812671686E-6</v>
      </c>
      <c r="H737" s="370">
        <f t="shared" si="34"/>
        <v>2.2956917090805375E-5</v>
      </c>
      <c r="I737" s="331">
        <v>605415</v>
      </c>
      <c r="J737" s="331">
        <v>0</v>
      </c>
      <c r="K737" s="331">
        <f t="shared" si="35"/>
        <v>605415</v>
      </c>
      <c r="L737" s="199">
        <v>3.34</v>
      </c>
      <c r="M737" s="199">
        <v>1.48</v>
      </c>
    </row>
    <row r="738" spans="1:13" ht="15" customHeight="1" x14ac:dyDescent="0.25">
      <c r="A738" s="49">
        <v>1996</v>
      </c>
      <c r="B738" s="330" t="s">
        <v>22</v>
      </c>
      <c r="C738" s="331">
        <v>47012993865</v>
      </c>
      <c r="D738" s="331">
        <v>14855284694</v>
      </c>
      <c r="E738" s="331">
        <v>364067252</v>
      </c>
      <c r="F738" s="331">
        <v>339194</v>
      </c>
      <c r="G738" s="370">
        <f t="shared" si="33"/>
        <v>7.2148989484484092E-6</v>
      </c>
      <c r="H738" s="370">
        <f t="shared" si="34"/>
        <v>2.2833221105281094E-5</v>
      </c>
      <c r="I738" s="331">
        <v>690786</v>
      </c>
      <c r="J738" s="331">
        <v>0</v>
      </c>
      <c r="K738" s="331">
        <f t="shared" si="35"/>
        <v>690786</v>
      </c>
      <c r="L738" s="199">
        <v>2.4500000000000002</v>
      </c>
      <c r="M738" s="199">
        <v>1.46</v>
      </c>
    </row>
    <row r="739" spans="1:13" ht="15" customHeight="1" x14ac:dyDescent="0.25">
      <c r="A739" s="49">
        <v>1997</v>
      </c>
      <c r="B739" s="330" t="s">
        <v>22</v>
      </c>
      <c r="C739" s="331">
        <v>51184621158</v>
      </c>
      <c r="D739" s="331">
        <v>15615987400</v>
      </c>
      <c r="E739" s="331">
        <v>278024052</v>
      </c>
      <c r="F739" s="331">
        <v>308627</v>
      </c>
      <c r="G739" s="370">
        <f t="shared" si="33"/>
        <v>6.0296822173853782E-6</v>
      </c>
      <c r="H739" s="370">
        <f t="shared" si="34"/>
        <v>1.9763527729280828E-5</v>
      </c>
      <c r="I739" s="331">
        <v>720552</v>
      </c>
      <c r="J739" s="331">
        <v>0</v>
      </c>
      <c r="K739" s="331">
        <f t="shared" si="35"/>
        <v>720552</v>
      </c>
      <c r="L739" s="199">
        <v>1.78</v>
      </c>
      <c r="M739" s="199">
        <v>1.46</v>
      </c>
    </row>
    <row r="740" spans="1:13" ht="15" customHeight="1" x14ac:dyDescent="0.25">
      <c r="A740" s="49">
        <v>1998</v>
      </c>
      <c r="B740" s="330" t="s">
        <v>22</v>
      </c>
      <c r="C740" s="331">
        <v>55177931519</v>
      </c>
      <c r="D740" s="331">
        <v>16184597270</v>
      </c>
      <c r="E740" s="331">
        <v>266422431</v>
      </c>
      <c r="F740" s="331">
        <v>283963</v>
      </c>
      <c r="G740" s="370">
        <f t="shared" si="33"/>
        <v>5.1463146983358739E-6</v>
      </c>
      <c r="H740" s="370">
        <f t="shared" si="34"/>
        <v>1.7545262032955113E-5</v>
      </c>
      <c r="I740" s="331">
        <v>751394</v>
      </c>
      <c r="J740" s="331">
        <v>0</v>
      </c>
      <c r="K740" s="331">
        <f t="shared" si="35"/>
        <v>751394</v>
      </c>
      <c r="L740" s="199">
        <v>1.65</v>
      </c>
      <c r="M740" s="199">
        <v>1.46</v>
      </c>
    </row>
    <row r="741" spans="1:13" ht="15" customHeight="1" x14ac:dyDescent="0.25">
      <c r="A741" s="49">
        <v>1999</v>
      </c>
      <c r="B741" s="330" t="s">
        <v>22</v>
      </c>
      <c r="C741" s="331">
        <v>59471259765</v>
      </c>
      <c r="D741" s="331">
        <v>16939747353</v>
      </c>
      <c r="E741" s="331">
        <v>275442931</v>
      </c>
      <c r="F741" s="331">
        <v>253092</v>
      </c>
      <c r="G741" s="370">
        <f t="shared" si="33"/>
        <v>4.2557026873163633E-6</v>
      </c>
      <c r="H741" s="370">
        <f t="shared" si="34"/>
        <v>1.4940718697034041E-5</v>
      </c>
      <c r="I741" s="331">
        <v>815177</v>
      </c>
      <c r="J741" s="331">
        <v>0</v>
      </c>
      <c r="K741" s="331">
        <f t="shared" si="35"/>
        <v>815177</v>
      </c>
      <c r="L741" s="199">
        <v>1.63</v>
      </c>
      <c r="M741" s="199">
        <v>1.46</v>
      </c>
    </row>
    <row r="742" spans="1:13" ht="15" customHeight="1" x14ac:dyDescent="0.25">
      <c r="A742" s="49">
        <v>2000</v>
      </c>
      <c r="B742" s="330" t="s">
        <v>22</v>
      </c>
      <c r="C742" s="331">
        <v>64621375349</v>
      </c>
      <c r="D742" s="331">
        <v>17689450618</v>
      </c>
      <c r="E742" s="331">
        <v>259379391</v>
      </c>
      <c r="F742" s="331">
        <v>251899</v>
      </c>
      <c r="G742" s="370">
        <f t="shared" si="33"/>
        <v>3.8980754996248784E-6</v>
      </c>
      <c r="H742" s="370">
        <f t="shared" si="34"/>
        <v>1.4240069148539795E-5</v>
      </c>
      <c r="I742" s="331">
        <v>882505</v>
      </c>
      <c r="J742" s="331">
        <v>0</v>
      </c>
      <c r="K742" s="331">
        <f t="shared" si="35"/>
        <v>882505</v>
      </c>
      <c r="L742" s="199">
        <v>1.47</v>
      </c>
      <c r="M742" s="199">
        <v>1.46</v>
      </c>
    </row>
    <row r="743" spans="1:13" ht="15" customHeight="1" x14ac:dyDescent="0.25">
      <c r="A743" s="49">
        <v>2001</v>
      </c>
      <c r="B743" s="330" t="s">
        <v>22</v>
      </c>
      <c r="C743" s="331">
        <v>67704395407</v>
      </c>
      <c r="D743" s="331">
        <v>17717459709</v>
      </c>
      <c r="E743" s="331">
        <v>242780374</v>
      </c>
      <c r="F743" s="331">
        <v>373226</v>
      </c>
      <c r="G743" s="370">
        <f t="shared" si="33"/>
        <v>5.5125815356060605E-6</v>
      </c>
      <c r="H743" s="370">
        <f t="shared" si="34"/>
        <v>2.1065435233382306E-5</v>
      </c>
      <c r="I743" s="331">
        <v>826266</v>
      </c>
      <c r="J743" s="331">
        <v>0</v>
      </c>
      <c r="K743" s="331">
        <f t="shared" si="35"/>
        <v>826266</v>
      </c>
      <c r="L743" s="199">
        <v>1.37</v>
      </c>
      <c r="M743" s="199">
        <v>1.46</v>
      </c>
    </row>
    <row r="744" spans="1:13" ht="15" customHeight="1" x14ac:dyDescent="0.25">
      <c r="A744" s="49">
        <v>2002</v>
      </c>
      <c r="B744" s="330" t="s">
        <v>22</v>
      </c>
      <c r="C744" s="331">
        <v>68841033997</v>
      </c>
      <c r="D744" s="331">
        <v>17682577961</v>
      </c>
      <c r="E744" s="331">
        <v>232640687</v>
      </c>
      <c r="F744" s="331">
        <v>474108</v>
      </c>
      <c r="G744" s="370">
        <f t="shared" si="33"/>
        <v>6.8869970782347773E-6</v>
      </c>
      <c r="H744" s="370">
        <f t="shared" si="34"/>
        <v>2.6812153807305359E-5</v>
      </c>
      <c r="I744" s="331">
        <v>781334</v>
      </c>
      <c r="J744" s="331">
        <v>0</v>
      </c>
      <c r="K744" s="331">
        <f t="shared" si="35"/>
        <v>781334</v>
      </c>
      <c r="L744" s="199">
        <v>1.32</v>
      </c>
      <c r="M744" s="199">
        <v>1.46</v>
      </c>
    </row>
    <row r="745" spans="1:13" ht="15" customHeight="1" x14ac:dyDescent="0.25">
      <c r="A745" s="49">
        <v>2003</v>
      </c>
      <c r="B745" s="330" t="s">
        <v>22</v>
      </c>
      <c r="C745" s="331">
        <v>71237390380</v>
      </c>
      <c r="D745" s="331">
        <v>17694429505</v>
      </c>
      <c r="E745" s="331">
        <v>260011261</v>
      </c>
      <c r="F745" s="331">
        <v>493771</v>
      </c>
      <c r="G745" s="370">
        <f t="shared" si="33"/>
        <v>6.931345987915735E-6</v>
      </c>
      <c r="H745" s="370">
        <f t="shared" si="34"/>
        <v>2.7905448992321158E-5</v>
      </c>
      <c r="I745" s="331">
        <v>584047</v>
      </c>
      <c r="J745" s="331">
        <v>0</v>
      </c>
      <c r="K745" s="331">
        <f t="shared" si="35"/>
        <v>584047</v>
      </c>
      <c r="L745" s="199">
        <v>1.47</v>
      </c>
      <c r="M745" s="199">
        <v>1.46</v>
      </c>
    </row>
    <row r="746" spans="1:13" ht="15" customHeight="1" x14ac:dyDescent="0.25">
      <c r="A746" s="49">
        <v>2004</v>
      </c>
      <c r="B746" s="330" t="s">
        <v>22</v>
      </c>
      <c r="C746" s="331">
        <v>75802118923</v>
      </c>
      <c r="D746" s="331">
        <v>18316530725</v>
      </c>
      <c r="E746" s="331">
        <v>494375131</v>
      </c>
      <c r="F746" s="331">
        <v>405028</v>
      </c>
      <c r="G746" s="370">
        <f t="shared" si="33"/>
        <v>5.3432279434223808E-6</v>
      </c>
      <c r="H746" s="370">
        <f t="shared" si="34"/>
        <v>2.2112702786406074E-5</v>
      </c>
      <c r="I746" s="331">
        <v>698034</v>
      </c>
      <c r="J746" s="331">
        <v>0</v>
      </c>
      <c r="K746" s="331">
        <f t="shared" si="35"/>
        <v>698034</v>
      </c>
      <c r="L746" s="199">
        <v>2.7</v>
      </c>
      <c r="M746" s="199">
        <v>1.46</v>
      </c>
    </row>
    <row r="747" spans="1:13" ht="15" customHeight="1" x14ac:dyDescent="0.25">
      <c r="A747" s="49">
        <v>2005</v>
      </c>
      <c r="B747" s="330" t="s">
        <v>22</v>
      </c>
      <c r="C747" s="331">
        <v>80546097932</v>
      </c>
      <c r="D747" s="331">
        <v>18965475812</v>
      </c>
      <c r="E747" s="331">
        <v>496863517</v>
      </c>
      <c r="F747" s="331">
        <v>364790</v>
      </c>
      <c r="G747" s="370">
        <f t="shared" si="33"/>
        <v>4.5289593085933131E-6</v>
      </c>
      <c r="H747" s="370">
        <f t="shared" si="34"/>
        <v>1.9234423834976337E-5</v>
      </c>
      <c r="I747" s="331">
        <v>884321</v>
      </c>
      <c r="J747" s="331">
        <v>0</v>
      </c>
      <c r="K747" s="331">
        <f t="shared" si="35"/>
        <v>884321</v>
      </c>
      <c r="L747" s="199">
        <v>2.62</v>
      </c>
      <c r="M747" s="199">
        <v>1.46</v>
      </c>
    </row>
    <row r="748" spans="1:13" ht="15" customHeight="1" x14ac:dyDescent="0.25">
      <c r="A748" s="49">
        <v>2006</v>
      </c>
      <c r="B748" s="330" t="s">
        <v>22</v>
      </c>
      <c r="C748" s="331">
        <v>84863642407</v>
      </c>
      <c r="D748" s="331">
        <v>19381943952</v>
      </c>
      <c r="E748" s="331">
        <v>433927699</v>
      </c>
      <c r="F748" s="331">
        <v>365148</v>
      </c>
      <c r="G748" s="370">
        <f t="shared" si="33"/>
        <v>4.3027613432944123E-6</v>
      </c>
      <c r="H748" s="370">
        <f t="shared" si="34"/>
        <v>1.8839596322448388E-5</v>
      </c>
      <c r="I748" s="331">
        <v>1018371</v>
      </c>
      <c r="J748" s="331">
        <v>0</v>
      </c>
      <c r="K748" s="331">
        <f t="shared" si="35"/>
        <v>1018371</v>
      </c>
      <c r="L748" s="199">
        <v>2.2400000000000002</v>
      </c>
      <c r="M748" s="199">
        <v>1.46</v>
      </c>
    </row>
    <row r="749" spans="1:13" ht="15" customHeight="1" x14ac:dyDescent="0.25">
      <c r="A749" s="49">
        <v>2007</v>
      </c>
      <c r="B749" s="330" t="s">
        <v>22</v>
      </c>
      <c r="C749" s="331">
        <v>88754487979</v>
      </c>
      <c r="D749" s="331">
        <v>19451016143</v>
      </c>
      <c r="E749" s="331">
        <v>350912825</v>
      </c>
      <c r="F749" s="331">
        <v>418794</v>
      </c>
      <c r="G749" s="370">
        <f t="shared" si="33"/>
        <v>4.7185670216371472E-6</v>
      </c>
      <c r="H749" s="370">
        <f t="shared" si="34"/>
        <v>2.1530700345992715E-5</v>
      </c>
      <c r="I749" s="331">
        <v>1016659</v>
      </c>
      <c r="J749" s="331">
        <v>0</v>
      </c>
      <c r="K749" s="331">
        <f t="shared" si="35"/>
        <v>1016659</v>
      </c>
      <c r="L749" s="199">
        <v>1.8</v>
      </c>
      <c r="M749" s="199">
        <v>1.46</v>
      </c>
    </row>
    <row r="750" spans="1:13" ht="15" customHeight="1" x14ac:dyDescent="0.25">
      <c r="A750" s="49">
        <v>2008</v>
      </c>
      <c r="B750" s="330" t="s">
        <v>22</v>
      </c>
      <c r="C750" s="331">
        <v>89726476881</v>
      </c>
      <c r="D750" s="331">
        <v>19061452751</v>
      </c>
      <c r="E750" s="331">
        <v>324082813</v>
      </c>
      <c r="F750" s="331">
        <v>609657</v>
      </c>
      <c r="G750" s="370">
        <f t="shared" si="33"/>
        <v>6.7946164966285186E-6</v>
      </c>
      <c r="H750" s="370">
        <f t="shared" si="34"/>
        <v>3.1983763670269899E-5</v>
      </c>
      <c r="I750" s="331">
        <v>773782</v>
      </c>
      <c r="J750" s="331">
        <v>0</v>
      </c>
      <c r="K750" s="331">
        <f t="shared" si="35"/>
        <v>773782</v>
      </c>
      <c r="L750" s="199">
        <v>1.7</v>
      </c>
      <c r="M750" s="199">
        <v>1.46</v>
      </c>
    </row>
    <row r="751" spans="1:13" ht="15" customHeight="1" x14ac:dyDescent="0.25">
      <c r="A751" s="49">
        <v>2009</v>
      </c>
      <c r="B751" s="330" t="s">
        <v>22</v>
      </c>
      <c r="C751" s="331">
        <v>86815258679</v>
      </c>
      <c r="D751" s="331">
        <v>17964285775</v>
      </c>
      <c r="E751" s="331">
        <v>365329171</v>
      </c>
      <c r="F751" s="331">
        <v>1032613</v>
      </c>
      <c r="G751" s="370">
        <f t="shared" si="33"/>
        <v>1.1894372207287816E-5</v>
      </c>
      <c r="H751" s="370">
        <f t="shared" si="34"/>
        <v>5.748143916954583E-5</v>
      </c>
      <c r="I751" s="331">
        <v>135304</v>
      </c>
      <c r="J751" s="331">
        <v>0</v>
      </c>
      <c r="K751" s="331">
        <f t="shared" si="35"/>
        <v>135304</v>
      </c>
      <c r="L751" s="199">
        <v>2</v>
      </c>
      <c r="M751" s="199">
        <v>1.2</v>
      </c>
    </row>
    <row r="752" spans="1:13" ht="15" customHeight="1" x14ac:dyDescent="0.25">
      <c r="A752" s="49">
        <v>2010</v>
      </c>
      <c r="B752" s="330" t="s">
        <v>22</v>
      </c>
      <c r="C752" s="331">
        <v>88280116209</v>
      </c>
      <c r="D752" s="331">
        <v>17873972209</v>
      </c>
      <c r="E752" s="331">
        <v>811840585</v>
      </c>
      <c r="F752" s="331">
        <v>848342</v>
      </c>
      <c r="G752" s="370">
        <f t="shared" si="33"/>
        <v>9.6096611154382804E-6</v>
      </c>
      <c r="H752" s="370">
        <f t="shared" si="34"/>
        <v>4.7462421339831677E-5</v>
      </c>
      <c r="I752" s="331">
        <v>199897</v>
      </c>
      <c r="J752" s="331">
        <v>0</v>
      </c>
      <c r="K752" s="331">
        <f t="shared" si="35"/>
        <v>199897</v>
      </c>
      <c r="L752" s="199">
        <v>4.5</v>
      </c>
      <c r="M752" s="199">
        <v>1.2</v>
      </c>
    </row>
    <row r="753" spans="1:13" ht="15" customHeight="1" x14ac:dyDescent="0.25">
      <c r="A753" s="49">
        <v>2011</v>
      </c>
      <c r="B753" s="330" t="s">
        <v>22</v>
      </c>
      <c r="C753" s="331">
        <v>91064568888</v>
      </c>
      <c r="D753" s="331">
        <v>18082141078</v>
      </c>
      <c r="E753" s="331">
        <v>949695281</v>
      </c>
      <c r="F753" s="331">
        <v>749315</v>
      </c>
      <c r="G753" s="370">
        <f t="shared" si="33"/>
        <v>8.2283923281027103E-6</v>
      </c>
      <c r="H753" s="370">
        <f t="shared" si="34"/>
        <v>4.1439506348707186E-5</v>
      </c>
      <c r="I753" s="331">
        <v>418330</v>
      </c>
      <c r="J753" s="331">
        <v>0</v>
      </c>
      <c r="K753" s="331">
        <f t="shared" si="35"/>
        <v>418330</v>
      </c>
      <c r="L753" s="199">
        <v>5.3</v>
      </c>
      <c r="M753" s="199">
        <v>1.2</v>
      </c>
    </row>
    <row r="754" spans="1:13" ht="15" customHeight="1" x14ac:dyDescent="0.25">
      <c r="A754" s="49">
        <v>2012</v>
      </c>
      <c r="B754" s="330" t="s">
        <v>22</v>
      </c>
      <c r="C754" s="331">
        <v>95123300012</v>
      </c>
      <c r="D754" s="331">
        <v>18493818374</v>
      </c>
      <c r="E754" s="331">
        <v>1029242977</v>
      </c>
      <c r="F754" s="331">
        <v>730774</v>
      </c>
      <c r="G754" s="370">
        <f t="shared" si="33"/>
        <v>7.6823869641592685E-6</v>
      </c>
      <c r="H754" s="370">
        <f t="shared" si="34"/>
        <v>3.9514500749470807E-5</v>
      </c>
      <c r="I754" s="331">
        <v>758970</v>
      </c>
      <c r="J754" s="331">
        <v>0</v>
      </c>
      <c r="K754" s="331">
        <f t="shared" si="35"/>
        <v>758970</v>
      </c>
      <c r="L754" s="199">
        <v>5.57</v>
      </c>
      <c r="M754" s="199">
        <v>1.2</v>
      </c>
    </row>
    <row r="755" spans="1:13" ht="15" customHeight="1" x14ac:dyDescent="0.25">
      <c r="A755" s="49">
        <v>2013</v>
      </c>
      <c r="B755" s="330" t="s">
        <v>22</v>
      </c>
      <c r="C755" s="331">
        <v>96510473629</v>
      </c>
      <c r="D755" s="331">
        <v>19137442471</v>
      </c>
      <c r="E755" s="331">
        <v>743748220</v>
      </c>
      <c r="F755" s="331">
        <v>696358</v>
      </c>
      <c r="G755" s="370">
        <f t="shared" si="33"/>
        <v>7.2153619582979073E-6</v>
      </c>
      <c r="H755" s="370">
        <f t="shared" si="34"/>
        <v>3.6387202786120919E-5</v>
      </c>
      <c r="I755" s="331">
        <v>874703</v>
      </c>
      <c r="J755" s="331">
        <v>0</v>
      </c>
      <c r="K755" s="331">
        <f t="shared" si="35"/>
        <v>874703</v>
      </c>
      <c r="L755" s="199">
        <v>3.89</v>
      </c>
      <c r="M755" s="199">
        <v>1.2</v>
      </c>
    </row>
    <row r="756" spans="1:13" ht="15" customHeight="1" x14ac:dyDescent="0.25">
      <c r="A756" s="49">
        <v>2014</v>
      </c>
      <c r="B756" s="330" t="s">
        <v>22</v>
      </c>
      <c r="C756" s="331">
        <v>99646078353</v>
      </c>
      <c r="D756" s="331">
        <v>19361683461</v>
      </c>
      <c r="E756" s="331">
        <v>530192397</v>
      </c>
      <c r="F756" s="331">
        <v>623274</v>
      </c>
      <c r="G756" s="370">
        <f t="shared" si="33"/>
        <v>6.2548773649879958E-6</v>
      </c>
      <c r="H756" s="370">
        <f t="shared" si="34"/>
        <v>3.2191105760790537E-5</v>
      </c>
      <c r="I756" s="331">
        <v>848316</v>
      </c>
      <c r="J756" s="331">
        <v>0</v>
      </c>
      <c r="K756" s="331">
        <f t="shared" si="35"/>
        <v>848316</v>
      </c>
      <c r="L756" s="333">
        <v>2.7383589762117535</v>
      </c>
      <c r="M756" s="199">
        <v>1.2</v>
      </c>
    </row>
    <row r="757" spans="1:13" ht="15" customHeight="1" x14ac:dyDescent="0.25">
      <c r="A757" s="49">
        <v>2015</v>
      </c>
      <c r="B757" s="330" t="s">
        <v>22</v>
      </c>
      <c r="C757" s="334">
        <v>105316748000</v>
      </c>
      <c r="D757" s="334">
        <v>20321472000</v>
      </c>
      <c r="E757" s="334">
        <v>631018000</v>
      </c>
      <c r="F757" s="331">
        <v>522953</v>
      </c>
      <c r="G757" s="370">
        <f t="shared" si="33"/>
        <v>4.9655255211640219E-6</v>
      </c>
      <c r="H757" s="370">
        <f t="shared" si="34"/>
        <v>2.5734011788122434E-5</v>
      </c>
      <c r="I757" s="331">
        <v>957921</v>
      </c>
      <c r="J757" s="199">
        <v>0</v>
      </c>
      <c r="K757" s="331">
        <f t="shared" si="35"/>
        <v>957921</v>
      </c>
      <c r="L757" s="199">
        <v>3</v>
      </c>
      <c r="M757" s="199">
        <v>1.2</v>
      </c>
    </row>
    <row r="758" spans="1:13" ht="15" customHeight="1" x14ac:dyDescent="0.25">
      <c r="A758" s="49">
        <v>1980</v>
      </c>
      <c r="B758" s="330" t="s">
        <v>23</v>
      </c>
      <c r="C758" s="331">
        <v>3614416920</v>
      </c>
      <c r="D758" s="331">
        <v>1860581306</v>
      </c>
      <c r="E758" s="331">
        <v>58154139</v>
      </c>
      <c r="F758" s="331">
        <v>56774</v>
      </c>
      <c r="G758" s="370">
        <f t="shared" si="33"/>
        <v>1.5707651125094889E-5</v>
      </c>
      <c r="H758" s="370">
        <f t="shared" si="34"/>
        <v>3.051411933298227E-5</v>
      </c>
      <c r="I758" s="331">
        <v>34934</v>
      </c>
      <c r="J758" s="331">
        <v>36400</v>
      </c>
      <c r="K758" s="331">
        <f t="shared" si="35"/>
        <v>-1466</v>
      </c>
      <c r="L758" s="199">
        <v>3.13</v>
      </c>
      <c r="M758" s="199">
        <v>2.4300000000000002</v>
      </c>
    </row>
    <row r="759" spans="1:13" ht="15" customHeight="1" x14ac:dyDescent="0.25">
      <c r="A759" s="49">
        <v>1981</v>
      </c>
      <c r="B759" s="330" t="s">
        <v>23</v>
      </c>
      <c r="C759" s="331">
        <v>3899701648</v>
      </c>
      <c r="D759" s="331">
        <v>1908640014</v>
      </c>
      <c r="E759" s="331">
        <v>59451419</v>
      </c>
      <c r="F759" s="331">
        <v>58763</v>
      </c>
      <c r="G759" s="370">
        <f t="shared" si="33"/>
        <v>1.5068588652195272E-5</v>
      </c>
      <c r="H759" s="370">
        <f t="shared" si="34"/>
        <v>3.0787890628389603E-5</v>
      </c>
      <c r="I759" s="331">
        <v>32734</v>
      </c>
      <c r="J759" s="331">
        <v>31446</v>
      </c>
      <c r="K759" s="331">
        <f t="shared" si="35"/>
        <v>1288</v>
      </c>
      <c r="L759" s="199">
        <v>3.11</v>
      </c>
      <c r="M759" s="199">
        <v>2.4300000000000002</v>
      </c>
    </row>
    <row r="760" spans="1:13" ht="15" customHeight="1" x14ac:dyDescent="0.25">
      <c r="A760" s="49">
        <v>1982</v>
      </c>
      <c r="B760" s="330" t="s">
        <v>23</v>
      </c>
      <c r="C760" s="331">
        <v>4125543002</v>
      </c>
      <c r="D760" s="331">
        <v>1894842722</v>
      </c>
      <c r="E760" s="331">
        <v>58443497</v>
      </c>
      <c r="F760" s="331">
        <v>69527</v>
      </c>
      <c r="G760" s="370">
        <f t="shared" si="33"/>
        <v>1.685281185199E-5</v>
      </c>
      <c r="H760" s="370">
        <f t="shared" si="34"/>
        <v>3.6692755125667894E-5</v>
      </c>
      <c r="I760" s="331">
        <v>17072</v>
      </c>
      <c r="J760" s="331">
        <v>20891</v>
      </c>
      <c r="K760" s="331">
        <f t="shared" si="35"/>
        <v>-3819</v>
      </c>
      <c r="L760" s="199">
        <v>3.08</v>
      </c>
      <c r="M760" s="199">
        <v>2.4300000000000002</v>
      </c>
    </row>
    <row r="761" spans="1:13" ht="15" customHeight="1" x14ac:dyDescent="0.25">
      <c r="A761" s="49">
        <v>1983</v>
      </c>
      <c r="B761" s="330" t="s">
        <v>23</v>
      </c>
      <c r="C761" s="331">
        <v>4421321763</v>
      </c>
      <c r="D761" s="331">
        <v>2171792258</v>
      </c>
      <c r="E761" s="331">
        <v>79758551</v>
      </c>
      <c r="F761" s="331">
        <v>65501</v>
      </c>
      <c r="G761" s="370">
        <f t="shared" si="33"/>
        <v>1.4814800530499187E-5</v>
      </c>
      <c r="H761" s="370">
        <f t="shared" si="34"/>
        <v>3.0159882815090135E-5</v>
      </c>
      <c r="I761" s="331">
        <v>22577</v>
      </c>
      <c r="J761" s="331">
        <v>0</v>
      </c>
      <c r="K761" s="331">
        <f t="shared" si="35"/>
        <v>22577</v>
      </c>
      <c r="L761" s="199">
        <v>3.67</v>
      </c>
      <c r="M761" s="199">
        <v>2.4300000000000002</v>
      </c>
    </row>
    <row r="762" spans="1:13" ht="15" customHeight="1" x14ac:dyDescent="0.25">
      <c r="A762" s="49">
        <v>1984</v>
      </c>
      <c r="B762" s="330" t="s">
        <v>23</v>
      </c>
      <c r="C762" s="331">
        <v>4901198134</v>
      </c>
      <c r="D762" s="331">
        <v>2328528938</v>
      </c>
      <c r="E762" s="331">
        <v>85236269</v>
      </c>
      <c r="F762" s="331">
        <v>56864</v>
      </c>
      <c r="G762" s="370">
        <f t="shared" si="33"/>
        <v>1.1602061056362918E-5</v>
      </c>
      <c r="H762" s="370">
        <f t="shared" si="34"/>
        <v>2.4420568313332253E-5</v>
      </c>
      <c r="I762" s="331">
        <v>57510</v>
      </c>
      <c r="J762" s="331">
        <v>0</v>
      </c>
      <c r="K762" s="331">
        <f t="shared" si="35"/>
        <v>57510</v>
      </c>
      <c r="L762" s="199">
        <v>3.66</v>
      </c>
      <c r="M762" s="199">
        <v>2.4300000000000002</v>
      </c>
    </row>
    <row r="763" spans="1:13" ht="15" customHeight="1" x14ac:dyDescent="0.25">
      <c r="A763" s="49">
        <v>1985</v>
      </c>
      <c r="B763" s="330" t="s">
        <v>23</v>
      </c>
      <c r="C763" s="331">
        <v>5245061994</v>
      </c>
      <c r="D763" s="331">
        <v>2430456458</v>
      </c>
      <c r="E763" s="331">
        <v>76061809</v>
      </c>
      <c r="F763" s="331">
        <v>65320</v>
      </c>
      <c r="G763" s="370">
        <f t="shared" si="33"/>
        <v>1.2453618293686844E-5</v>
      </c>
      <c r="H763" s="370">
        <f t="shared" si="34"/>
        <v>2.6875610046415404E-5</v>
      </c>
      <c r="I763" s="331">
        <v>77784</v>
      </c>
      <c r="J763" s="331">
        <v>0</v>
      </c>
      <c r="K763" s="331">
        <f t="shared" si="35"/>
        <v>77784</v>
      </c>
      <c r="L763" s="199">
        <v>3.13</v>
      </c>
      <c r="M763" s="199">
        <v>2.4300000000000002</v>
      </c>
    </row>
    <row r="764" spans="1:13" ht="15" customHeight="1" x14ac:dyDescent="0.25">
      <c r="A764" s="49">
        <v>1986</v>
      </c>
      <c r="B764" s="330" t="s">
        <v>23</v>
      </c>
      <c r="C764" s="331">
        <v>5831661335</v>
      </c>
      <c r="D764" s="331">
        <v>2595076077</v>
      </c>
      <c r="E764" s="331">
        <v>70044521</v>
      </c>
      <c r="F764" s="331">
        <v>56057</v>
      </c>
      <c r="G764" s="370">
        <f t="shared" si="33"/>
        <v>9.6125266506066753E-6</v>
      </c>
      <c r="H764" s="370">
        <f t="shared" si="34"/>
        <v>2.1601293502271378E-5</v>
      </c>
      <c r="I764" s="331">
        <v>100967</v>
      </c>
      <c r="J764" s="331">
        <v>0</v>
      </c>
      <c r="K764" s="331">
        <f t="shared" si="35"/>
        <v>100967</v>
      </c>
      <c r="L764" s="199">
        <v>2.7</v>
      </c>
      <c r="M764" s="199">
        <v>2.4300000000000002</v>
      </c>
    </row>
    <row r="765" spans="1:13" ht="15" customHeight="1" x14ac:dyDescent="0.25">
      <c r="A765" s="49">
        <v>1987</v>
      </c>
      <c r="B765" s="330" t="s">
        <v>23</v>
      </c>
      <c r="C765" s="331">
        <v>6544733482</v>
      </c>
      <c r="D765" s="331">
        <v>2820644285</v>
      </c>
      <c r="E765" s="331">
        <v>75404632</v>
      </c>
      <c r="F765" s="331">
        <v>48601</v>
      </c>
      <c r="G765" s="370">
        <f t="shared" si="33"/>
        <v>7.4259708410842816E-6</v>
      </c>
      <c r="H765" s="370">
        <f t="shared" si="34"/>
        <v>1.7230460522249085E-5</v>
      </c>
      <c r="I765" s="331">
        <v>138273</v>
      </c>
      <c r="J765" s="331">
        <v>0</v>
      </c>
      <c r="K765" s="331">
        <f t="shared" si="35"/>
        <v>138273</v>
      </c>
      <c r="L765" s="199">
        <v>2.67</v>
      </c>
      <c r="M765" s="199">
        <v>2.4300000000000002</v>
      </c>
    </row>
    <row r="766" spans="1:13" ht="15" customHeight="1" x14ac:dyDescent="0.25">
      <c r="A766" s="49">
        <v>1988</v>
      </c>
      <c r="B766" s="330" t="s">
        <v>23</v>
      </c>
      <c r="C766" s="331">
        <v>7273662054</v>
      </c>
      <c r="D766" s="331">
        <v>3002514878</v>
      </c>
      <c r="E766" s="331">
        <v>76058771</v>
      </c>
      <c r="F766" s="331">
        <v>49388</v>
      </c>
      <c r="G766" s="370">
        <f t="shared" si="33"/>
        <v>6.7899772677560803E-6</v>
      </c>
      <c r="H766" s="370">
        <f t="shared" si="34"/>
        <v>1.6448877693121624E-5</v>
      </c>
      <c r="I766" s="331">
        <v>179949</v>
      </c>
      <c r="J766" s="331">
        <v>0</v>
      </c>
      <c r="K766" s="331">
        <f t="shared" si="35"/>
        <v>179949</v>
      </c>
      <c r="L766" s="199">
        <v>2.5299999999999998</v>
      </c>
      <c r="M766" s="199">
        <v>2.4300000000000002</v>
      </c>
    </row>
    <row r="767" spans="1:13" ht="15" customHeight="1" x14ac:dyDescent="0.25">
      <c r="A767" s="49">
        <v>1989</v>
      </c>
      <c r="B767" s="330" t="s">
        <v>23</v>
      </c>
      <c r="C767" s="331">
        <v>7755793080</v>
      </c>
      <c r="D767" s="331">
        <v>3075764560</v>
      </c>
      <c r="E767" s="331">
        <v>74267252</v>
      </c>
      <c r="F767" s="331">
        <v>65808</v>
      </c>
      <c r="G767" s="370">
        <f t="shared" si="33"/>
        <v>8.4850123412524055E-6</v>
      </c>
      <c r="H767" s="370">
        <f t="shared" si="34"/>
        <v>2.139565584954916E-5</v>
      </c>
      <c r="I767" s="331">
        <v>206353</v>
      </c>
      <c r="J767" s="331">
        <v>0</v>
      </c>
      <c r="K767" s="331">
        <f t="shared" si="35"/>
        <v>206353</v>
      </c>
      <c r="L767" s="199">
        <v>2.41</v>
      </c>
      <c r="M767" s="199">
        <v>2.4300000000000002</v>
      </c>
    </row>
    <row r="768" spans="1:13" ht="15" customHeight="1" x14ac:dyDescent="0.25">
      <c r="A768" s="49">
        <v>1990</v>
      </c>
      <c r="B768" s="330" t="s">
        <v>23</v>
      </c>
      <c r="C768" s="331">
        <v>7931531548</v>
      </c>
      <c r="D768" s="331">
        <v>2978599948</v>
      </c>
      <c r="E768" s="331">
        <v>68812987</v>
      </c>
      <c r="F768" s="331">
        <v>110929</v>
      </c>
      <c r="G768" s="370">
        <f t="shared" si="33"/>
        <v>1.3985823460283865E-5</v>
      </c>
      <c r="H768" s="370">
        <f t="shared" si="34"/>
        <v>3.7241993532728017E-5</v>
      </c>
      <c r="I768" s="331">
        <v>181547</v>
      </c>
      <c r="J768" s="331">
        <v>0</v>
      </c>
      <c r="K768" s="331">
        <f t="shared" si="35"/>
        <v>181547</v>
      </c>
      <c r="L768" s="199">
        <v>2.31</v>
      </c>
      <c r="M768" s="199">
        <v>2.4300000000000002</v>
      </c>
    </row>
    <row r="769" spans="1:13" ht="15" customHeight="1" x14ac:dyDescent="0.25">
      <c r="A769" s="49">
        <v>1991</v>
      </c>
      <c r="B769" s="330" t="s">
        <v>23</v>
      </c>
      <c r="C769" s="331">
        <v>7678622534</v>
      </c>
      <c r="D769" s="331">
        <v>2788669270</v>
      </c>
      <c r="E769" s="331">
        <v>66965835</v>
      </c>
      <c r="F769" s="331">
        <v>169259</v>
      </c>
      <c r="G769" s="370">
        <f t="shared" si="33"/>
        <v>2.2042885849713523E-5</v>
      </c>
      <c r="H769" s="370">
        <f t="shared" si="34"/>
        <v>6.0695257706196187E-5</v>
      </c>
      <c r="I769" s="331">
        <v>77553</v>
      </c>
      <c r="J769" s="331">
        <v>0</v>
      </c>
      <c r="K769" s="331">
        <f t="shared" si="35"/>
        <v>77553</v>
      </c>
      <c r="L769" s="199">
        <v>2.4</v>
      </c>
      <c r="M769" s="199">
        <v>2.46</v>
      </c>
    </row>
    <row r="770" spans="1:13" ht="15" customHeight="1" x14ac:dyDescent="0.25">
      <c r="A770" s="49">
        <v>1992</v>
      </c>
      <c r="B770" s="330" t="s">
        <v>23</v>
      </c>
      <c r="C770" s="331">
        <v>7995875476</v>
      </c>
      <c r="D770" s="331">
        <v>2813878541</v>
      </c>
      <c r="E770" s="331">
        <v>89555319</v>
      </c>
      <c r="F770" s="331">
        <v>136793</v>
      </c>
      <c r="G770" s="370">
        <f t="shared" ref="G770:G833" si="36">F770/C770</f>
        <v>1.7107945266355222E-5</v>
      </c>
      <c r="H770" s="370">
        <f t="shared" ref="H770:H833" si="37">F770/D770</f>
        <v>4.8613683215831454E-5</v>
      </c>
      <c r="I770" s="331">
        <v>35108</v>
      </c>
      <c r="J770" s="331">
        <v>0</v>
      </c>
      <c r="K770" s="331">
        <f t="shared" ref="K770:K833" si="38">I770-J770</f>
        <v>35108</v>
      </c>
      <c r="L770" s="199">
        <v>3.18</v>
      </c>
      <c r="M770" s="199">
        <v>2.46</v>
      </c>
    </row>
    <row r="771" spans="1:13" x14ac:dyDescent="0.25">
      <c r="A771" s="49">
        <v>1993</v>
      </c>
      <c r="B771" s="330" t="s">
        <v>23</v>
      </c>
      <c r="C771" s="331">
        <v>8244079929</v>
      </c>
      <c r="D771" s="331">
        <v>2868743250</v>
      </c>
      <c r="E771" s="331">
        <v>117183115</v>
      </c>
      <c r="F771" s="331">
        <v>96124</v>
      </c>
      <c r="G771" s="370">
        <f t="shared" si="36"/>
        <v>1.1659760801428785E-5</v>
      </c>
      <c r="H771" s="370">
        <f t="shared" si="37"/>
        <v>3.35073555292897E-5</v>
      </c>
      <c r="I771" s="331">
        <v>51403</v>
      </c>
      <c r="J771" s="331">
        <v>0</v>
      </c>
      <c r="K771" s="331">
        <f t="shared" si="38"/>
        <v>51403</v>
      </c>
      <c r="L771" s="199">
        <v>4.08</v>
      </c>
      <c r="M771" s="199">
        <v>2.46</v>
      </c>
    </row>
    <row r="772" spans="1:13" ht="15" customHeight="1" x14ac:dyDescent="0.25">
      <c r="A772" s="49">
        <v>1994</v>
      </c>
      <c r="B772" s="330" t="s">
        <v>23</v>
      </c>
      <c r="C772" s="331">
        <v>8612140230</v>
      </c>
      <c r="D772" s="331">
        <v>2966815820</v>
      </c>
      <c r="E772" s="331">
        <v>125197945</v>
      </c>
      <c r="F772" s="331">
        <v>102504</v>
      </c>
      <c r="G772" s="370">
        <f t="shared" si="36"/>
        <v>1.1902267875635833E-5</v>
      </c>
      <c r="H772" s="370">
        <f t="shared" si="37"/>
        <v>3.4550173053883743E-5</v>
      </c>
      <c r="I772" s="331">
        <v>74621</v>
      </c>
      <c r="J772" s="331">
        <v>0</v>
      </c>
      <c r="K772" s="331">
        <f t="shared" si="38"/>
        <v>74621</v>
      </c>
      <c r="L772" s="199">
        <v>4.22</v>
      </c>
      <c r="M772" s="199">
        <v>2.46</v>
      </c>
    </row>
    <row r="773" spans="1:13" ht="15" customHeight="1" x14ac:dyDescent="0.25">
      <c r="A773" s="49">
        <v>1995</v>
      </c>
      <c r="B773" s="330" t="s">
        <v>23</v>
      </c>
      <c r="C773" s="331">
        <v>9006873139</v>
      </c>
      <c r="D773" s="331">
        <v>3040493429</v>
      </c>
      <c r="E773" s="331">
        <v>114531556</v>
      </c>
      <c r="F773" s="331">
        <v>101506</v>
      </c>
      <c r="G773" s="370">
        <f t="shared" si="36"/>
        <v>1.1269837870867341E-5</v>
      </c>
      <c r="H773" s="370">
        <f t="shared" si="37"/>
        <v>3.3384712833727359E-5</v>
      </c>
      <c r="I773" s="331">
        <v>95289</v>
      </c>
      <c r="J773" s="331">
        <v>0</v>
      </c>
      <c r="K773" s="331">
        <f t="shared" si="38"/>
        <v>95289</v>
      </c>
      <c r="L773" s="199">
        <v>3.77</v>
      </c>
      <c r="M773" s="199">
        <v>2.19</v>
      </c>
    </row>
    <row r="774" spans="1:13" ht="15" customHeight="1" x14ac:dyDescent="0.25">
      <c r="A774" s="49">
        <v>1996</v>
      </c>
      <c r="B774" s="330" t="s">
        <v>23</v>
      </c>
      <c r="C774" s="331">
        <v>9431395139</v>
      </c>
      <c r="D774" s="331">
        <v>3112208773</v>
      </c>
      <c r="E774" s="331">
        <v>115742463</v>
      </c>
      <c r="F774" s="331">
        <v>103091</v>
      </c>
      <c r="G774" s="370">
        <f t="shared" si="36"/>
        <v>1.093062038867461E-5</v>
      </c>
      <c r="H774" s="370">
        <f t="shared" si="37"/>
        <v>3.3124705801990871E-5</v>
      </c>
      <c r="I774" s="331">
        <v>112122</v>
      </c>
      <c r="J774" s="331">
        <v>0</v>
      </c>
      <c r="K774" s="331">
        <f t="shared" si="38"/>
        <v>112122</v>
      </c>
      <c r="L774" s="199">
        <v>3.72</v>
      </c>
      <c r="M774" s="199">
        <v>2.11</v>
      </c>
    </row>
    <row r="775" spans="1:13" ht="15" customHeight="1" x14ac:dyDescent="0.25">
      <c r="A775" s="49">
        <v>1997</v>
      </c>
      <c r="B775" s="330" t="s">
        <v>23</v>
      </c>
      <c r="C775" s="331">
        <v>10125905734</v>
      </c>
      <c r="D775" s="331">
        <v>3240863005</v>
      </c>
      <c r="E775" s="331">
        <v>104797259</v>
      </c>
      <c r="F775" s="331">
        <v>92796</v>
      </c>
      <c r="G775" s="370">
        <f t="shared" si="36"/>
        <v>9.1642172500595786E-6</v>
      </c>
      <c r="H775" s="370">
        <f t="shared" si="37"/>
        <v>2.8633114036858215E-5</v>
      </c>
      <c r="I775" s="331">
        <v>136019</v>
      </c>
      <c r="J775" s="331">
        <v>0</v>
      </c>
      <c r="K775" s="331">
        <f t="shared" si="38"/>
        <v>136019</v>
      </c>
      <c r="L775" s="199">
        <v>3.23</v>
      </c>
      <c r="M775" s="199">
        <v>1.94</v>
      </c>
    </row>
    <row r="776" spans="1:13" ht="15" customHeight="1" x14ac:dyDescent="0.25">
      <c r="A776" s="49">
        <v>1998</v>
      </c>
      <c r="B776" s="330" t="s">
        <v>23</v>
      </c>
      <c r="C776" s="331">
        <v>10830761415</v>
      </c>
      <c r="D776" s="331">
        <v>3371028666</v>
      </c>
      <c r="E776" s="331">
        <v>122642303</v>
      </c>
      <c r="F776" s="331">
        <v>81307</v>
      </c>
      <c r="G776" s="370">
        <f t="shared" si="36"/>
        <v>7.5070437695538513E-6</v>
      </c>
      <c r="H776" s="370">
        <f t="shared" si="37"/>
        <v>2.4119343991363139E-5</v>
      </c>
      <c r="I776" s="331">
        <v>186441</v>
      </c>
      <c r="J776" s="331">
        <v>0</v>
      </c>
      <c r="K776" s="331">
        <f t="shared" si="38"/>
        <v>186441</v>
      </c>
      <c r="L776" s="199">
        <v>3.64</v>
      </c>
      <c r="M776" s="199">
        <v>1.94</v>
      </c>
    </row>
    <row r="777" spans="1:13" ht="15" customHeight="1" x14ac:dyDescent="0.25">
      <c r="A777" s="49">
        <v>1999</v>
      </c>
      <c r="B777" s="330" t="s">
        <v>23</v>
      </c>
      <c r="C777" s="331">
        <v>11619237331</v>
      </c>
      <c r="D777" s="331">
        <v>3531725956</v>
      </c>
      <c r="E777" s="331">
        <v>127364636</v>
      </c>
      <c r="F777" s="331">
        <v>77875</v>
      </c>
      <c r="G777" s="370">
        <f t="shared" si="36"/>
        <v>6.7022471253109133E-6</v>
      </c>
      <c r="H777" s="370">
        <f t="shared" si="37"/>
        <v>2.2050125341038778E-5</v>
      </c>
      <c r="I777" s="331">
        <v>251774</v>
      </c>
      <c r="J777" s="331">
        <v>0</v>
      </c>
      <c r="K777" s="331">
        <f t="shared" si="38"/>
        <v>251774</v>
      </c>
      <c r="L777" s="199">
        <v>3.61</v>
      </c>
      <c r="M777" s="199">
        <v>1.94</v>
      </c>
    </row>
    <row r="778" spans="1:13" ht="15" customHeight="1" x14ac:dyDescent="0.25">
      <c r="A778" s="49">
        <v>2000</v>
      </c>
      <c r="B778" s="330" t="s">
        <v>23</v>
      </c>
      <c r="C778" s="331">
        <v>12270123773</v>
      </c>
      <c r="D778" s="331">
        <v>5381931416</v>
      </c>
      <c r="E778" s="331">
        <v>140653850</v>
      </c>
      <c r="F778" s="331">
        <v>73412</v>
      </c>
      <c r="G778" s="370">
        <f t="shared" si="36"/>
        <v>5.9829877316755899E-6</v>
      </c>
      <c r="H778" s="370">
        <f t="shared" si="37"/>
        <v>1.3640456246200518E-5</v>
      </c>
      <c r="I778" s="331">
        <v>339578</v>
      </c>
      <c r="J778" s="331">
        <v>0</v>
      </c>
      <c r="K778" s="331">
        <f t="shared" si="38"/>
        <v>339578</v>
      </c>
      <c r="L778" s="199">
        <v>2.61</v>
      </c>
      <c r="M778" s="199">
        <v>1.94</v>
      </c>
    </row>
    <row r="779" spans="1:13" ht="15" customHeight="1" x14ac:dyDescent="0.25">
      <c r="A779" s="49">
        <v>2001</v>
      </c>
      <c r="B779" s="330" t="s">
        <v>23</v>
      </c>
      <c r="C779" s="331">
        <v>12723407770</v>
      </c>
      <c r="D779" s="331">
        <v>5403262716</v>
      </c>
      <c r="E779" s="331">
        <v>148685691</v>
      </c>
      <c r="F779" s="331">
        <v>96830</v>
      </c>
      <c r="G779" s="370">
        <f t="shared" si="36"/>
        <v>7.6103825131118943E-6</v>
      </c>
      <c r="H779" s="370">
        <f t="shared" si="37"/>
        <v>1.792065370304308E-5</v>
      </c>
      <c r="I779" s="331">
        <v>410305</v>
      </c>
      <c r="J779" s="331">
        <v>0</v>
      </c>
      <c r="K779" s="331">
        <f t="shared" si="38"/>
        <v>410305</v>
      </c>
      <c r="L779" s="199">
        <v>2.75</v>
      </c>
      <c r="M779" s="199">
        <v>1.94</v>
      </c>
    </row>
    <row r="780" spans="1:13" ht="15" customHeight="1" x14ac:dyDescent="0.25">
      <c r="A780" s="49">
        <v>2002</v>
      </c>
      <c r="B780" s="330" t="s">
        <v>23</v>
      </c>
      <c r="C780" s="331">
        <v>12904654108</v>
      </c>
      <c r="D780" s="331">
        <v>5345338383</v>
      </c>
      <c r="E780" s="331">
        <v>98545476</v>
      </c>
      <c r="F780" s="331">
        <v>116974</v>
      </c>
      <c r="G780" s="370">
        <f t="shared" si="36"/>
        <v>9.0644816219819606E-6</v>
      </c>
      <c r="H780" s="370">
        <f t="shared" si="37"/>
        <v>2.188336670546756E-5</v>
      </c>
      <c r="I780" s="331">
        <v>455104</v>
      </c>
      <c r="J780" s="331">
        <v>0</v>
      </c>
      <c r="K780" s="331">
        <f t="shared" si="38"/>
        <v>455104</v>
      </c>
      <c r="L780" s="199">
        <v>1.84</v>
      </c>
      <c r="M780" s="199">
        <v>1.94</v>
      </c>
    </row>
    <row r="781" spans="1:13" ht="15" customHeight="1" x14ac:dyDescent="0.25">
      <c r="A781" s="49">
        <v>2003</v>
      </c>
      <c r="B781" s="330" t="s">
        <v>23</v>
      </c>
      <c r="C781" s="331">
        <v>13255096976</v>
      </c>
      <c r="D781" s="331">
        <v>5372641502</v>
      </c>
      <c r="E781" s="331">
        <v>80384646</v>
      </c>
      <c r="F781" s="331">
        <v>122017</v>
      </c>
      <c r="G781" s="370">
        <f t="shared" si="36"/>
        <v>9.2052891216810361E-6</v>
      </c>
      <c r="H781" s="370">
        <f t="shared" si="37"/>
        <v>2.2710802489721004E-5</v>
      </c>
      <c r="I781" s="331">
        <v>438298</v>
      </c>
      <c r="J781" s="331">
        <v>0</v>
      </c>
      <c r="K781" s="331">
        <f t="shared" si="38"/>
        <v>438298</v>
      </c>
      <c r="L781" s="199">
        <v>1.5</v>
      </c>
      <c r="M781" s="199">
        <v>1.94</v>
      </c>
    </row>
    <row r="782" spans="1:13" ht="15" customHeight="1" x14ac:dyDescent="0.25">
      <c r="A782" s="49">
        <v>2004</v>
      </c>
      <c r="B782" s="330" t="s">
        <v>23</v>
      </c>
      <c r="C782" s="331">
        <v>13869937098</v>
      </c>
      <c r="D782" s="331">
        <v>5477896620</v>
      </c>
      <c r="E782" s="331">
        <v>82751229</v>
      </c>
      <c r="F782" s="331">
        <v>110326</v>
      </c>
      <c r="G782" s="370">
        <f t="shared" si="36"/>
        <v>7.9543259079313816E-6</v>
      </c>
      <c r="H782" s="370">
        <f t="shared" si="37"/>
        <v>2.0140212138578111E-5</v>
      </c>
      <c r="I782" s="331">
        <v>436613</v>
      </c>
      <c r="J782" s="331">
        <v>0</v>
      </c>
      <c r="K782" s="331">
        <f t="shared" si="38"/>
        <v>436613</v>
      </c>
      <c r="L782" s="199">
        <v>1.51</v>
      </c>
      <c r="M782" s="199">
        <v>1.94</v>
      </c>
    </row>
    <row r="783" spans="1:13" ht="15" customHeight="1" x14ac:dyDescent="0.25">
      <c r="A783" s="49">
        <v>2005</v>
      </c>
      <c r="B783" s="330" t="s">
        <v>23</v>
      </c>
      <c r="C783" s="331">
        <v>14020212872</v>
      </c>
      <c r="D783" s="331">
        <v>5451372120</v>
      </c>
      <c r="E783" s="331">
        <v>95661969</v>
      </c>
      <c r="F783" s="331">
        <v>105986</v>
      </c>
      <c r="G783" s="370">
        <f t="shared" si="36"/>
        <v>7.5595143217594362E-6</v>
      </c>
      <c r="H783" s="370">
        <f t="shared" si="37"/>
        <v>1.9442077639711742E-5</v>
      </c>
      <c r="I783" s="331">
        <v>445671</v>
      </c>
      <c r="J783" s="331">
        <v>0</v>
      </c>
      <c r="K783" s="331">
        <f t="shared" si="38"/>
        <v>445671</v>
      </c>
      <c r="L783" s="199">
        <v>1.75</v>
      </c>
      <c r="M783" s="199">
        <v>1.94</v>
      </c>
    </row>
    <row r="784" spans="1:13" ht="15" customHeight="1" x14ac:dyDescent="0.25">
      <c r="A784" s="49">
        <v>2006</v>
      </c>
      <c r="B784" s="330" t="s">
        <v>23</v>
      </c>
      <c r="C784" s="331">
        <v>14515723735</v>
      </c>
      <c r="D784" s="331">
        <v>5522671845</v>
      </c>
      <c r="E784" s="331">
        <v>99303597</v>
      </c>
      <c r="F784" s="331">
        <v>99768</v>
      </c>
      <c r="G784" s="370">
        <f t="shared" si="36"/>
        <v>6.8730985668624671E-6</v>
      </c>
      <c r="H784" s="370">
        <f t="shared" si="37"/>
        <v>1.806516896170933E-5</v>
      </c>
      <c r="I784" s="331">
        <v>463521</v>
      </c>
      <c r="J784" s="331">
        <v>0</v>
      </c>
      <c r="K784" s="331">
        <f t="shared" si="38"/>
        <v>463521</v>
      </c>
      <c r="L784" s="199">
        <v>1.8</v>
      </c>
      <c r="M784" s="199">
        <v>1.94</v>
      </c>
    </row>
    <row r="785" spans="1:13" ht="15" customHeight="1" x14ac:dyDescent="0.25">
      <c r="A785" s="49">
        <v>2007</v>
      </c>
      <c r="B785" s="330" t="s">
        <v>23</v>
      </c>
      <c r="C785" s="331">
        <v>15093423113</v>
      </c>
      <c r="D785" s="331">
        <v>5593306865</v>
      </c>
      <c r="E785" s="331">
        <v>101715301</v>
      </c>
      <c r="F785" s="331">
        <v>108242</v>
      </c>
      <c r="G785" s="370">
        <f t="shared" si="36"/>
        <v>7.1714679426677515E-6</v>
      </c>
      <c r="H785" s="370">
        <f t="shared" si="37"/>
        <v>1.9352058203228939E-5</v>
      </c>
      <c r="I785" s="331">
        <v>479164</v>
      </c>
      <c r="J785" s="331">
        <v>0</v>
      </c>
      <c r="K785" s="331">
        <f t="shared" si="38"/>
        <v>479164</v>
      </c>
      <c r="L785" s="199">
        <v>1.82</v>
      </c>
      <c r="M785" s="199">
        <v>1.94</v>
      </c>
    </row>
    <row r="786" spans="1:13" ht="15" customHeight="1" x14ac:dyDescent="0.25">
      <c r="A786" s="49">
        <v>2008</v>
      </c>
      <c r="B786" s="330" t="s">
        <v>23</v>
      </c>
      <c r="C786" s="331">
        <v>15447488408</v>
      </c>
      <c r="D786" s="331">
        <v>5541635439</v>
      </c>
      <c r="E786" s="331">
        <v>87822436</v>
      </c>
      <c r="F786" s="331">
        <v>135881</v>
      </c>
      <c r="G786" s="370">
        <f t="shared" si="36"/>
        <v>8.7963166834052752E-6</v>
      </c>
      <c r="H786" s="370">
        <f t="shared" si="37"/>
        <v>2.4520017871208073E-5</v>
      </c>
      <c r="I786" s="331">
        <v>453214</v>
      </c>
      <c r="J786" s="331">
        <v>0</v>
      </c>
      <c r="K786" s="331">
        <f t="shared" si="38"/>
        <v>453214</v>
      </c>
      <c r="L786" s="199">
        <v>1.6</v>
      </c>
      <c r="M786" s="199">
        <v>1.94</v>
      </c>
    </row>
    <row r="787" spans="1:13" ht="15" customHeight="1" x14ac:dyDescent="0.25">
      <c r="A787" s="49">
        <v>2009</v>
      </c>
      <c r="B787" s="330" t="s">
        <v>23</v>
      </c>
      <c r="C787" s="331">
        <v>14693535273</v>
      </c>
      <c r="D787" s="331">
        <v>5243279270</v>
      </c>
      <c r="E787" s="331">
        <v>83512476</v>
      </c>
      <c r="F787" s="331">
        <v>245191</v>
      </c>
      <c r="G787" s="370">
        <f t="shared" si="36"/>
        <v>1.6686998427842548E-5</v>
      </c>
      <c r="H787" s="370">
        <f t="shared" si="37"/>
        <v>4.6762910646947095E-5</v>
      </c>
      <c r="I787" s="331">
        <v>335162</v>
      </c>
      <c r="J787" s="331">
        <v>0</v>
      </c>
      <c r="K787" s="331">
        <f t="shared" si="38"/>
        <v>335162</v>
      </c>
      <c r="L787" s="199">
        <v>1.6</v>
      </c>
      <c r="M787" s="199">
        <v>1.9</v>
      </c>
    </row>
    <row r="788" spans="1:13" ht="15" customHeight="1" x14ac:dyDescent="0.25">
      <c r="A788" s="49">
        <v>2010</v>
      </c>
      <c r="B788" s="330" t="s">
        <v>23</v>
      </c>
      <c r="C788" s="331">
        <v>14896569069</v>
      </c>
      <c r="D788" s="331">
        <v>5223198642</v>
      </c>
      <c r="E788" s="331">
        <v>139477227</v>
      </c>
      <c r="F788" s="331">
        <v>198632</v>
      </c>
      <c r="G788" s="370">
        <f t="shared" si="36"/>
        <v>1.3334077067004401E-5</v>
      </c>
      <c r="H788" s="370">
        <f t="shared" si="37"/>
        <v>3.8028804495925202E-5</v>
      </c>
      <c r="I788" s="331">
        <v>278708</v>
      </c>
      <c r="J788" s="331">
        <v>0</v>
      </c>
      <c r="K788" s="331">
        <f t="shared" si="38"/>
        <v>278708</v>
      </c>
      <c r="L788" s="199">
        <v>2.7</v>
      </c>
      <c r="M788" s="199">
        <v>1.9</v>
      </c>
    </row>
    <row r="789" spans="1:13" ht="15" customHeight="1" x14ac:dyDescent="0.25">
      <c r="A789" s="49">
        <v>2011</v>
      </c>
      <c r="B789" s="330" t="s">
        <v>23</v>
      </c>
      <c r="C789" s="331">
        <v>15306065015</v>
      </c>
      <c r="D789" s="331">
        <v>5300652578</v>
      </c>
      <c r="E789" s="331">
        <v>159049091</v>
      </c>
      <c r="F789" s="331">
        <v>174983</v>
      </c>
      <c r="G789" s="370">
        <f t="shared" si="36"/>
        <v>1.1432265564566465E-5</v>
      </c>
      <c r="H789" s="370">
        <f t="shared" si="37"/>
        <v>3.3011595728091124E-5</v>
      </c>
      <c r="I789" s="331">
        <v>269493</v>
      </c>
      <c r="J789" s="331">
        <v>0</v>
      </c>
      <c r="K789" s="331">
        <f t="shared" si="38"/>
        <v>269493</v>
      </c>
      <c r="L789" s="199">
        <v>3</v>
      </c>
      <c r="M789" s="199">
        <v>1.9</v>
      </c>
    </row>
    <row r="790" spans="1:13" ht="15" customHeight="1" x14ac:dyDescent="0.25">
      <c r="A790" s="49">
        <v>2012</v>
      </c>
      <c r="B790" s="330" t="s">
        <v>23</v>
      </c>
      <c r="C790" s="331">
        <v>15644913998</v>
      </c>
      <c r="D790" s="331">
        <v>5344811334</v>
      </c>
      <c r="E790" s="331">
        <v>163842882</v>
      </c>
      <c r="F790" s="331">
        <v>163455</v>
      </c>
      <c r="G790" s="370">
        <f t="shared" si="36"/>
        <v>1.0447804316527123E-5</v>
      </c>
      <c r="H790" s="370">
        <f t="shared" si="37"/>
        <v>3.0581996217567516E-5</v>
      </c>
      <c r="I790" s="331">
        <v>277556</v>
      </c>
      <c r="J790" s="331">
        <v>0</v>
      </c>
      <c r="K790" s="331">
        <f t="shared" si="38"/>
        <v>277556</v>
      </c>
      <c r="L790" s="199">
        <v>3.07</v>
      </c>
      <c r="M790" s="199">
        <v>1.9</v>
      </c>
    </row>
    <row r="791" spans="1:13" ht="15" customHeight="1" x14ac:dyDescent="0.25">
      <c r="A791" s="49">
        <v>2013</v>
      </c>
      <c r="B791" s="330" t="s">
        <v>23</v>
      </c>
      <c r="C791" s="331">
        <v>16060706851</v>
      </c>
      <c r="D791" s="331">
        <v>5442679204</v>
      </c>
      <c r="E791" s="331">
        <v>169519089</v>
      </c>
      <c r="F791" s="331">
        <v>151445</v>
      </c>
      <c r="G791" s="370">
        <f t="shared" si="36"/>
        <v>9.4295351633648974E-6</v>
      </c>
      <c r="H791" s="370">
        <f t="shared" si="37"/>
        <v>2.782545035700399E-5</v>
      </c>
      <c r="I791" s="331">
        <v>296781</v>
      </c>
      <c r="J791" s="331">
        <v>0</v>
      </c>
      <c r="K791" s="331">
        <f t="shared" si="38"/>
        <v>296781</v>
      </c>
      <c r="L791" s="199">
        <v>3.11</v>
      </c>
      <c r="M791" s="199">
        <v>1.9</v>
      </c>
    </row>
    <row r="792" spans="1:13" ht="15" customHeight="1" x14ac:dyDescent="0.25">
      <c r="A792" s="49">
        <v>2014</v>
      </c>
      <c r="B792" s="330" t="s">
        <v>23</v>
      </c>
      <c r="C792" s="331">
        <v>16695848575</v>
      </c>
      <c r="D792" s="331">
        <v>5562406524</v>
      </c>
      <c r="E792" s="331">
        <v>143385465</v>
      </c>
      <c r="F792" s="331">
        <v>135407</v>
      </c>
      <c r="G792" s="370">
        <f t="shared" si="36"/>
        <v>8.1102196987313062E-6</v>
      </c>
      <c r="H792" s="370">
        <f t="shared" si="37"/>
        <v>2.4343240540899381E-5</v>
      </c>
      <c r="I792" s="331">
        <v>315785</v>
      </c>
      <c r="J792" s="331">
        <v>0</v>
      </c>
      <c r="K792" s="331">
        <f t="shared" si="38"/>
        <v>315785</v>
      </c>
      <c r="L792" s="333">
        <v>2.5777595431282792</v>
      </c>
      <c r="M792" s="199">
        <v>1.9</v>
      </c>
    </row>
    <row r="793" spans="1:13" ht="15" customHeight="1" x14ac:dyDescent="0.25">
      <c r="A793" s="49">
        <v>2015</v>
      </c>
      <c r="B793" s="330" t="s">
        <v>23</v>
      </c>
      <c r="C793" s="334">
        <v>17438962000</v>
      </c>
      <c r="D793" s="334">
        <v>5707831000</v>
      </c>
      <c r="E793" s="334">
        <v>146318000</v>
      </c>
      <c r="F793" s="331">
        <v>109257</v>
      </c>
      <c r="G793" s="370">
        <f t="shared" si="36"/>
        <v>6.2651091274813258E-6</v>
      </c>
      <c r="H793" s="370">
        <f t="shared" si="37"/>
        <v>1.9141596869283621E-5</v>
      </c>
      <c r="I793" s="331">
        <v>356865</v>
      </c>
      <c r="J793" s="199">
        <v>0</v>
      </c>
      <c r="K793" s="331">
        <f t="shared" si="38"/>
        <v>356865</v>
      </c>
      <c r="L793" s="199">
        <v>2.6</v>
      </c>
      <c r="M793" s="199">
        <v>1.9</v>
      </c>
    </row>
    <row r="794" spans="1:13" ht="15" customHeight="1" x14ac:dyDescent="0.25">
      <c r="A794" s="49">
        <v>1980</v>
      </c>
      <c r="B794" s="330" t="s">
        <v>24</v>
      </c>
      <c r="C794" s="331">
        <v>44713407960</v>
      </c>
      <c r="D794" s="331">
        <v>16441101487</v>
      </c>
      <c r="E794" s="331">
        <v>613514502</v>
      </c>
      <c r="F794" s="331">
        <v>1141476</v>
      </c>
      <c r="G794" s="370">
        <f t="shared" si="36"/>
        <v>2.5528718388478659E-5</v>
      </c>
      <c r="H794" s="370">
        <f t="shared" si="37"/>
        <v>6.942819499670181E-5</v>
      </c>
      <c r="I794" s="331">
        <v>208512</v>
      </c>
      <c r="J794" s="331">
        <v>842000</v>
      </c>
      <c r="K794" s="331">
        <f t="shared" si="38"/>
        <v>-633488</v>
      </c>
      <c r="L794" s="199">
        <v>3.73</v>
      </c>
      <c r="M794" s="199">
        <v>2.8</v>
      </c>
    </row>
    <row r="795" spans="1:13" ht="15" customHeight="1" x14ac:dyDescent="0.25">
      <c r="A795" s="49">
        <v>1981</v>
      </c>
      <c r="B795" s="330" t="s">
        <v>24</v>
      </c>
      <c r="C795" s="331">
        <v>47326645889</v>
      </c>
      <c r="D795" s="331">
        <v>16208936362</v>
      </c>
      <c r="E795" s="331">
        <v>621796018</v>
      </c>
      <c r="F795" s="331">
        <v>935815</v>
      </c>
      <c r="G795" s="370">
        <f t="shared" si="36"/>
        <v>1.9773533121169462E-5</v>
      </c>
      <c r="H795" s="370">
        <f t="shared" si="37"/>
        <v>5.7734510093698149E-5</v>
      </c>
      <c r="I795" s="331">
        <v>8822</v>
      </c>
      <c r="J795" s="331">
        <v>1075000</v>
      </c>
      <c r="K795" s="331">
        <f t="shared" si="38"/>
        <v>-1066178</v>
      </c>
      <c r="L795" s="199">
        <v>3.84</v>
      </c>
      <c r="M795" s="199">
        <v>2.82</v>
      </c>
    </row>
    <row r="796" spans="1:13" ht="15" customHeight="1" x14ac:dyDescent="0.25">
      <c r="A796" s="49">
        <v>1982</v>
      </c>
      <c r="B796" s="330" t="s">
        <v>24</v>
      </c>
      <c r="C796" s="331">
        <v>45796673092</v>
      </c>
      <c r="D796" s="331">
        <v>15225690841</v>
      </c>
      <c r="E796" s="331">
        <v>597423451</v>
      </c>
      <c r="F796" s="331">
        <v>1524401</v>
      </c>
      <c r="G796" s="370">
        <f t="shared" si="36"/>
        <v>3.3286282541477674E-5</v>
      </c>
      <c r="H796" s="370">
        <f t="shared" si="37"/>
        <v>1.0012031742395997E-4</v>
      </c>
      <c r="I796" s="331">
        <v>0</v>
      </c>
      <c r="J796" s="331">
        <v>2185816</v>
      </c>
      <c r="K796" s="331">
        <f t="shared" si="38"/>
        <v>-2185816</v>
      </c>
      <c r="L796" s="199">
        <v>3.92</v>
      </c>
      <c r="M796" s="199">
        <v>3.31</v>
      </c>
    </row>
    <row r="797" spans="1:13" ht="15" customHeight="1" x14ac:dyDescent="0.25">
      <c r="A797" s="49">
        <v>1983</v>
      </c>
      <c r="B797" s="330" t="s">
        <v>24</v>
      </c>
      <c r="C797" s="331">
        <v>48631211055</v>
      </c>
      <c r="D797" s="331">
        <v>19112477091</v>
      </c>
      <c r="E797" s="331">
        <v>887077901</v>
      </c>
      <c r="F797" s="331">
        <v>945485</v>
      </c>
      <c r="G797" s="370">
        <f t="shared" si="36"/>
        <v>1.9441938201594311E-5</v>
      </c>
      <c r="H797" s="370">
        <f t="shared" si="37"/>
        <v>4.9469516457666581E-5</v>
      </c>
      <c r="I797" s="331">
        <v>0</v>
      </c>
      <c r="J797" s="331">
        <v>2322272</v>
      </c>
      <c r="K797" s="331">
        <f t="shared" si="38"/>
        <v>-2322272</v>
      </c>
      <c r="L797" s="199">
        <v>4.6399999999999997</v>
      </c>
      <c r="M797" s="199">
        <v>3.31</v>
      </c>
    </row>
    <row r="798" spans="1:13" ht="15" customHeight="1" x14ac:dyDescent="0.25">
      <c r="A798" s="49">
        <v>1984</v>
      </c>
      <c r="B798" s="330" t="s">
        <v>24</v>
      </c>
      <c r="C798" s="331">
        <v>55028004476</v>
      </c>
      <c r="D798" s="331">
        <v>21511830629</v>
      </c>
      <c r="E798" s="331">
        <v>1165391401</v>
      </c>
      <c r="F798" s="331">
        <v>586389</v>
      </c>
      <c r="G798" s="370">
        <f t="shared" si="36"/>
        <v>1.0656192343950045E-5</v>
      </c>
      <c r="H798" s="370">
        <f t="shared" si="37"/>
        <v>2.7258907440889373E-5</v>
      </c>
      <c r="I798" s="331">
        <v>0</v>
      </c>
      <c r="J798" s="331">
        <v>1665761</v>
      </c>
      <c r="K798" s="331">
        <f t="shared" si="38"/>
        <v>-1665761</v>
      </c>
      <c r="L798" s="199">
        <v>5.42</v>
      </c>
      <c r="M798" s="199">
        <v>3.31</v>
      </c>
    </row>
    <row r="799" spans="1:13" ht="15" customHeight="1" x14ac:dyDescent="0.25">
      <c r="A799" s="49">
        <v>1985</v>
      </c>
      <c r="B799" s="330" t="s">
        <v>24</v>
      </c>
      <c r="C799" s="331">
        <v>61597127516</v>
      </c>
      <c r="D799" s="331">
        <v>23946765581</v>
      </c>
      <c r="E799" s="331">
        <v>1367031822</v>
      </c>
      <c r="F799" s="331">
        <v>640509</v>
      </c>
      <c r="G799" s="370">
        <f t="shared" si="36"/>
        <v>1.0398358264898413E-5</v>
      </c>
      <c r="H799" s="370">
        <f t="shared" si="37"/>
        <v>2.6747202992131716E-5</v>
      </c>
      <c r="I799" s="331">
        <v>454009</v>
      </c>
      <c r="J799" s="331">
        <v>1288731</v>
      </c>
      <c r="K799" s="331">
        <f t="shared" si="38"/>
        <v>-834722</v>
      </c>
      <c r="L799" s="199">
        <v>5.71</v>
      </c>
      <c r="M799" s="199">
        <v>3.31</v>
      </c>
    </row>
    <row r="800" spans="1:13" ht="15" customHeight="1" x14ac:dyDescent="0.25">
      <c r="A800" s="49">
        <v>1986</v>
      </c>
      <c r="B800" s="330" t="s">
        <v>24</v>
      </c>
      <c r="C800" s="331">
        <v>65451303098</v>
      </c>
      <c r="D800" s="331">
        <v>25772997976</v>
      </c>
      <c r="E800" s="331">
        <v>1400778715</v>
      </c>
      <c r="F800" s="331">
        <v>730247</v>
      </c>
      <c r="G800" s="370">
        <f t="shared" si="36"/>
        <v>1.1157104067226955E-5</v>
      </c>
      <c r="H800" s="370">
        <f t="shared" si="37"/>
        <v>2.8333801161976236E-5</v>
      </c>
      <c r="I800" s="331">
        <v>879900</v>
      </c>
      <c r="J800" s="331">
        <v>1120828</v>
      </c>
      <c r="K800" s="331">
        <f t="shared" si="38"/>
        <v>-240928</v>
      </c>
      <c r="L800" s="199">
        <v>5.44</v>
      </c>
      <c r="M800" s="199">
        <v>3.31</v>
      </c>
    </row>
    <row r="801" spans="1:13" ht="15" customHeight="1" x14ac:dyDescent="0.25">
      <c r="A801" s="49">
        <v>1987</v>
      </c>
      <c r="B801" s="330" t="s">
        <v>24</v>
      </c>
      <c r="C801" s="331">
        <v>67931766985</v>
      </c>
      <c r="D801" s="331">
        <v>26562024758</v>
      </c>
      <c r="E801" s="331">
        <v>1219755018</v>
      </c>
      <c r="F801" s="331">
        <v>925209</v>
      </c>
      <c r="G801" s="370">
        <f t="shared" si="36"/>
        <v>1.3619681057380638E-5</v>
      </c>
      <c r="H801" s="370">
        <f t="shared" si="37"/>
        <v>3.4832020842889387E-5</v>
      </c>
      <c r="I801" s="331">
        <v>978225</v>
      </c>
      <c r="J801" s="331">
        <v>952597</v>
      </c>
      <c r="K801" s="331">
        <f t="shared" si="38"/>
        <v>25628</v>
      </c>
      <c r="L801" s="199">
        <v>4.59</v>
      </c>
      <c r="M801" s="199">
        <v>3.31</v>
      </c>
    </row>
    <row r="802" spans="1:13" ht="15" customHeight="1" x14ac:dyDescent="0.25">
      <c r="A802" s="49">
        <v>1988</v>
      </c>
      <c r="B802" s="330" t="s">
        <v>24</v>
      </c>
      <c r="C802" s="331">
        <v>73086339651</v>
      </c>
      <c r="D802" s="331">
        <v>27436593652</v>
      </c>
      <c r="E802" s="331">
        <v>1088864596</v>
      </c>
      <c r="F802" s="331">
        <v>928368</v>
      </c>
      <c r="G802" s="370">
        <f t="shared" si="36"/>
        <v>1.2702346354094608E-5</v>
      </c>
      <c r="H802" s="370">
        <f t="shared" si="37"/>
        <v>3.3836853502122933E-5</v>
      </c>
      <c r="I802" s="331">
        <v>981921</v>
      </c>
      <c r="J802" s="331">
        <v>781530</v>
      </c>
      <c r="K802" s="331">
        <f t="shared" si="38"/>
        <v>200391</v>
      </c>
      <c r="L802" s="199">
        <v>3.97</v>
      </c>
      <c r="M802" s="199">
        <v>3.31</v>
      </c>
    </row>
    <row r="803" spans="1:13" ht="15" customHeight="1" x14ac:dyDescent="0.25">
      <c r="A803" s="49">
        <v>1989</v>
      </c>
      <c r="B803" s="330" t="s">
        <v>24</v>
      </c>
      <c r="C803" s="331">
        <v>76745883663</v>
      </c>
      <c r="D803" s="331">
        <v>28141447683</v>
      </c>
      <c r="E803" s="331">
        <v>1049549071</v>
      </c>
      <c r="F803" s="331">
        <v>914837</v>
      </c>
      <c r="G803" s="370">
        <f t="shared" si="36"/>
        <v>1.1920339649969429E-5</v>
      </c>
      <c r="H803" s="370">
        <f t="shared" si="37"/>
        <v>3.2508526579911702E-5</v>
      </c>
      <c r="I803" s="331">
        <v>972496</v>
      </c>
      <c r="J803" s="331">
        <v>602513</v>
      </c>
      <c r="K803" s="331">
        <f t="shared" si="38"/>
        <v>369983</v>
      </c>
      <c r="L803" s="199">
        <v>3.73</v>
      </c>
      <c r="M803" s="199">
        <v>3.31</v>
      </c>
    </row>
    <row r="804" spans="1:13" ht="15" customHeight="1" x14ac:dyDescent="0.25">
      <c r="A804" s="49">
        <v>1990</v>
      </c>
      <c r="B804" s="330" t="s">
        <v>24</v>
      </c>
      <c r="C804" s="331">
        <v>78807721281</v>
      </c>
      <c r="D804" s="331">
        <v>28454590485</v>
      </c>
      <c r="E804" s="331">
        <v>1031802844</v>
      </c>
      <c r="F804" s="331">
        <v>1134852</v>
      </c>
      <c r="G804" s="370">
        <f t="shared" si="36"/>
        <v>1.4400264105512273E-5</v>
      </c>
      <c r="H804" s="370">
        <f t="shared" si="37"/>
        <v>3.9882914519477753E-5</v>
      </c>
      <c r="I804" s="331">
        <v>740289</v>
      </c>
      <c r="J804" s="331">
        <v>417510</v>
      </c>
      <c r="K804" s="331">
        <f t="shared" si="38"/>
        <v>322779</v>
      </c>
      <c r="L804" s="199">
        <v>3.63</v>
      </c>
      <c r="M804" s="199">
        <v>3.31</v>
      </c>
    </row>
    <row r="805" spans="1:13" ht="15" customHeight="1" x14ac:dyDescent="0.25">
      <c r="A805" s="49">
        <v>1991</v>
      </c>
      <c r="B805" s="330" t="s">
        <v>24</v>
      </c>
      <c r="C805" s="331">
        <v>78369493002</v>
      </c>
      <c r="D805" s="331">
        <v>27812155811</v>
      </c>
      <c r="E805" s="331">
        <v>1039156622</v>
      </c>
      <c r="F805" s="331">
        <v>1488274</v>
      </c>
      <c r="G805" s="370">
        <f t="shared" si="36"/>
        <v>1.8990476306411975E-5</v>
      </c>
      <c r="H805" s="370">
        <f t="shared" si="37"/>
        <v>5.3511637505330382E-5</v>
      </c>
      <c r="I805" s="331">
        <v>251000</v>
      </c>
      <c r="J805" s="331">
        <v>417509</v>
      </c>
      <c r="K805" s="331">
        <f t="shared" si="38"/>
        <v>-166509</v>
      </c>
      <c r="L805" s="199">
        <v>3.74</v>
      </c>
      <c r="M805" s="199">
        <v>3.31</v>
      </c>
    </row>
    <row r="806" spans="1:13" x14ac:dyDescent="0.25">
      <c r="A806" s="49">
        <v>1992</v>
      </c>
      <c r="B806" s="330" t="s">
        <v>24</v>
      </c>
      <c r="C806" s="331">
        <v>83238399166</v>
      </c>
      <c r="D806" s="331">
        <v>28256445151</v>
      </c>
      <c r="E806" s="331">
        <v>1138831023</v>
      </c>
      <c r="F806" s="331">
        <v>1221106</v>
      </c>
      <c r="G806" s="370">
        <f t="shared" si="36"/>
        <v>1.466998419280965E-5</v>
      </c>
      <c r="H806" s="370">
        <f t="shared" si="37"/>
        <v>4.321513175045605E-5</v>
      </c>
      <c r="I806" s="331">
        <v>140232</v>
      </c>
      <c r="J806" s="331">
        <v>212724</v>
      </c>
      <c r="K806" s="331">
        <f t="shared" si="38"/>
        <v>-72492</v>
      </c>
      <c r="L806" s="199">
        <v>4.03</v>
      </c>
      <c r="M806" s="199">
        <v>3.31</v>
      </c>
    </row>
    <row r="807" spans="1:13" ht="15" customHeight="1" x14ac:dyDescent="0.25">
      <c r="A807" s="49">
        <v>1993</v>
      </c>
      <c r="B807" s="330" t="s">
        <v>24</v>
      </c>
      <c r="C807" s="331">
        <v>87402937370</v>
      </c>
      <c r="D807" s="331">
        <v>29167985775</v>
      </c>
      <c r="E807" s="331">
        <v>1220281341</v>
      </c>
      <c r="F807" s="331">
        <v>983218</v>
      </c>
      <c r="G807" s="370">
        <f t="shared" si="36"/>
        <v>1.124925579832375E-5</v>
      </c>
      <c r="H807" s="370">
        <f t="shared" si="37"/>
        <v>3.3708806894808629E-5</v>
      </c>
      <c r="I807" s="331">
        <v>364530</v>
      </c>
      <c r="J807" s="331">
        <v>0</v>
      </c>
      <c r="K807" s="331">
        <f t="shared" si="38"/>
        <v>364530</v>
      </c>
      <c r="L807" s="199">
        <v>4.18</v>
      </c>
      <c r="M807" s="199">
        <v>3.31</v>
      </c>
    </row>
    <row r="808" spans="1:13" ht="15" customHeight="1" x14ac:dyDescent="0.25">
      <c r="A808" s="49">
        <v>1994</v>
      </c>
      <c r="B808" s="330" t="s">
        <v>24</v>
      </c>
      <c r="C808" s="331">
        <v>95916707471</v>
      </c>
      <c r="D808" s="331">
        <v>31478675306</v>
      </c>
      <c r="E808" s="331">
        <v>1404007952</v>
      </c>
      <c r="F808" s="331">
        <v>828683</v>
      </c>
      <c r="G808" s="370">
        <f t="shared" si="36"/>
        <v>8.6396105730646434E-6</v>
      </c>
      <c r="H808" s="370">
        <f t="shared" si="37"/>
        <v>2.6325218324611285E-5</v>
      </c>
      <c r="I808" s="331">
        <v>866906</v>
      </c>
      <c r="J808" s="331">
        <v>0</v>
      </c>
      <c r="K808" s="331">
        <f t="shared" si="38"/>
        <v>866906</v>
      </c>
      <c r="L808" s="199">
        <v>4.46</v>
      </c>
      <c r="M808" s="199">
        <v>3.31</v>
      </c>
    </row>
    <row r="809" spans="1:13" ht="15" customHeight="1" x14ac:dyDescent="0.25">
      <c r="A809" s="49">
        <v>1995</v>
      </c>
      <c r="B809" s="330" t="s">
        <v>24</v>
      </c>
      <c r="C809" s="331">
        <v>103082784010</v>
      </c>
      <c r="D809" s="331">
        <v>32388439575</v>
      </c>
      <c r="E809" s="331">
        <v>1381182765</v>
      </c>
      <c r="F809" s="331">
        <v>843181</v>
      </c>
      <c r="G809" s="370">
        <f t="shared" si="36"/>
        <v>8.1796490859055914E-6</v>
      </c>
      <c r="H809" s="370">
        <f t="shared" si="37"/>
        <v>2.6033393737524633E-5</v>
      </c>
      <c r="I809" s="331">
        <v>1497688</v>
      </c>
      <c r="J809" s="331">
        <v>0</v>
      </c>
      <c r="K809" s="331">
        <f t="shared" si="38"/>
        <v>1497688</v>
      </c>
      <c r="L809" s="199">
        <v>4.26</v>
      </c>
      <c r="M809" s="199">
        <v>2.95</v>
      </c>
    </row>
    <row r="810" spans="1:13" ht="15" customHeight="1" x14ac:dyDescent="0.25">
      <c r="A810" s="49">
        <v>1996</v>
      </c>
      <c r="B810" s="330" t="s">
        <v>24</v>
      </c>
      <c r="C810" s="331">
        <v>108810518044</v>
      </c>
      <c r="D810" s="331">
        <v>33509318216</v>
      </c>
      <c r="E810" s="331">
        <v>1181291450</v>
      </c>
      <c r="F810" s="331">
        <v>946760</v>
      </c>
      <c r="G810" s="370">
        <f t="shared" si="36"/>
        <v>8.7009970820757989E-6</v>
      </c>
      <c r="H810" s="370">
        <f t="shared" si="37"/>
        <v>2.8253633628031915E-5</v>
      </c>
      <c r="I810" s="331">
        <v>1830928</v>
      </c>
      <c r="J810" s="331">
        <v>0</v>
      </c>
      <c r="K810" s="331">
        <f t="shared" si="38"/>
        <v>1830928</v>
      </c>
      <c r="L810" s="199">
        <v>3.53</v>
      </c>
      <c r="M810" s="199">
        <v>2.95</v>
      </c>
    </row>
    <row r="811" spans="1:13" ht="15" customHeight="1" x14ac:dyDescent="0.25">
      <c r="A811" s="49">
        <v>1997</v>
      </c>
      <c r="B811" s="330" t="s">
        <v>24</v>
      </c>
      <c r="C811" s="331">
        <v>113606898867</v>
      </c>
      <c r="D811" s="331">
        <v>33755762159</v>
      </c>
      <c r="E811" s="331">
        <v>1101869818</v>
      </c>
      <c r="F811" s="331">
        <v>873134</v>
      </c>
      <c r="G811" s="370">
        <f t="shared" si="36"/>
        <v>7.685571991734244E-6</v>
      </c>
      <c r="H811" s="370">
        <f t="shared" si="37"/>
        <v>2.5866220880668339E-5</v>
      </c>
      <c r="I811" s="331">
        <v>2222714</v>
      </c>
      <c r="J811" s="331">
        <v>0</v>
      </c>
      <c r="K811" s="331">
        <f t="shared" si="38"/>
        <v>2222714</v>
      </c>
      <c r="L811" s="199">
        <v>3.27</v>
      </c>
      <c r="M811" s="199">
        <v>2.95</v>
      </c>
    </row>
    <row r="812" spans="1:13" ht="15" customHeight="1" x14ac:dyDescent="0.25">
      <c r="A812" s="49">
        <v>1998</v>
      </c>
      <c r="B812" s="330" t="s">
        <v>24</v>
      </c>
      <c r="C812" s="331">
        <v>124178288889</v>
      </c>
      <c r="D812" s="331">
        <v>35518784469</v>
      </c>
      <c r="E812" s="331">
        <v>987740062</v>
      </c>
      <c r="F812" s="331">
        <v>953149</v>
      </c>
      <c r="G812" s="370">
        <f t="shared" si="36"/>
        <v>7.6756493307134963E-6</v>
      </c>
      <c r="H812" s="370">
        <f t="shared" si="37"/>
        <v>2.6835068098456104E-5</v>
      </c>
      <c r="I812" s="331">
        <v>2441572</v>
      </c>
      <c r="J812" s="331">
        <v>0</v>
      </c>
      <c r="K812" s="331">
        <f t="shared" si="38"/>
        <v>2441572</v>
      </c>
      <c r="L812" s="199">
        <v>2.78</v>
      </c>
      <c r="M812" s="199">
        <v>2.95</v>
      </c>
    </row>
    <row r="813" spans="1:13" ht="15" customHeight="1" x14ac:dyDescent="0.25">
      <c r="A813" s="49">
        <v>1999</v>
      </c>
      <c r="B813" s="330" t="s">
        <v>24</v>
      </c>
      <c r="C813" s="331">
        <v>131886751974</v>
      </c>
      <c r="D813" s="331">
        <v>37400969766</v>
      </c>
      <c r="E813" s="331">
        <v>994091002</v>
      </c>
      <c r="F813" s="331">
        <v>848541</v>
      </c>
      <c r="G813" s="370">
        <f t="shared" si="36"/>
        <v>6.4338607729704371E-6</v>
      </c>
      <c r="H813" s="370">
        <f t="shared" si="37"/>
        <v>2.268767375041117E-5</v>
      </c>
      <c r="I813" s="331">
        <v>2742015</v>
      </c>
      <c r="J813" s="331">
        <v>0</v>
      </c>
      <c r="K813" s="331">
        <f t="shared" si="38"/>
        <v>2742015</v>
      </c>
      <c r="L813" s="199">
        <v>2.66</v>
      </c>
      <c r="M813" s="199">
        <v>2.95</v>
      </c>
    </row>
    <row r="814" spans="1:13" ht="15" customHeight="1" x14ac:dyDescent="0.25">
      <c r="A814" s="49">
        <v>2000</v>
      </c>
      <c r="B814" s="330" t="s">
        <v>24</v>
      </c>
      <c r="C814" s="331">
        <v>139101884079</v>
      </c>
      <c r="D814" s="331">
        <v>38447308332</v>
      </c>
      <c r="E814" s="331">
        <v>1018461686</v>
      </c>
      <c r="F814" s="331">
        <v>888583</v>
      </c>
      <c r="G814" s="370">
        <f t="shared" si="36"/>
        <v>6.3880011826104947E-6</v>
      </c>
      <c r="H814" s="370">
        <f t="shared" si="37"/>
        <v>2.3111708947916787E-5</v>
      </c>
      <c r="I814" s="331">
        <v>3067381</v>
      </c>
      <c r="J814" s="331">
        <v>0</v>
      </c>
      <c r="K814" s="331">
        <f t="shared" si="38"/>
        <v>3067381</v>
      </c>
      <c r="L814" s="199">
        <v>2.65</v>
      </c>
      <c r="M814" s="199">
        <v>2.95</v>
      </c>
    </row>
    <row r="815" spans="1:13" ht="15" customHeight="1" x14ac:dyDescent="0.25">
      <c r="A815" s="49">
        <v>2001</v>
      </c>
      <c r="B815" s="330" t="s">
        <v>24</v>
      </c>
      <c r="C815" s="331">
        <v>135624173530</v>
      </c>
      <c r="D815" s="331">
        <v>37112230812</v>
      </c>
      <c r="E815" s="331">
        <v>961173816</v>
      </c>
      <c r="F815" s="331">
        <v>1594986</v>
      </c>
      <c r="G815" s="370">
        <f t="shared" si="36"/>
        <v>1.1760337102789348E-5</v>
      </c>
      <c r="H815" s="370">
        <f t="shared" si="37"/>
        <v>4.2977367975526588E-5</v>
      </c>
      <c r="I815" s="331">
        <v>2601274</v>
      </c>
      <c r="J815" s="331">
        <v>0</v>
      </c>
      <c r="K815" s="331">
        <f t="shared" si="38"/>
        <v>2601274</v>
      </c>
      <c r="L815" s="199">
        <v>2.59</v>
      </c>
      <c r="M815" s="199">
        <v>2.69</v>
      </c>
    </row>
    <row r="816" spans="1:13" ht="15" customHeight="1" x14ac:dyDescent="0.25">
      <c r="A816" s="49">
        <v>2002</v>
      </c>
      <c r="B816" s="330" t="s">
        <v>24</v>
      </c>
      <c r="C816" s="331">
        <v>134089764104</v>
      </c>
      <c r="D816" s="331">
        <v>36055034130</v>
      </c>
      <c r="E816" s="331">
        <v>965827207</v>
      </c>
      <c r="F816" s="331">
        <v>1820861</v>
      </c>
      <c r="G816" s="370">
        <f t="shared" si="36"/>
        <v>1.3579418325978563E-5</v>
      </c>
      <c r="H816" s="370">
        <f t="shared" si="37"/>
        <v>5.0502268100335313E-5</v>
      </c>
      <c r="I816" s="331">
        <v>2076380</v>
      </c>
      <c r="J816" s="331">
        <v>0</v>
      </c>
      <c r="K816" s="331">
        <f t="shared" si="38"/>
        <v>2076380</v>
      </c>
      <c r="L816" s="199">
        <v>2.68</v>
      </c>
      <c r="M816" s="199">
        <v>2.69</v>
      </c>
    </row>
    <row r="817" spans="1:13" ht="15" customHeight="1" x14ac:dyDescent="0.25">
      <c r="A817" s="49">
        <v>2003</v>
      </c>
      <c r="B817" s="330" t="s">
        <v>24</v>
      </c>
      <c r="C817" s="331">
        <v>135736381674</v>
      </c>
      <c r="D817" s="331">
        <v>33861111060</v>
      </c>
      <c r="E817" s="331">
        <v>1137542142</v>
      </c>
      <c r="F817" s="331">
        <v>1907151</v>
      </c>
      <c r="G817" s="370">
        <f t="shared" si="36"/>
        <v>1.4050403999868154E-5</v>
      </c>
      <c r="H817" s="370">
        <f t="shared" si="37"/>
        <v>5.6322753161307518E-5</v>
      </c>
      <c r="I817" s="331">
        <v>1247842</v>
      </c>
      <c r="J817" s="331">
        <v>0</v>
      </c>
      <c r="K817" s="331">
        <f t="shared" si="38"/>
        <v>1247842</v>
      </c>
      <c r="L817" s="199">
        <v>3.36</v>
      </c>
      <c r="M817" s="199">
        <v>2.69</v>
      </c>
    </row>
    <row r="818" spans="1:13" ht="15" customHeight="1" x14ac:dyDescent="0.25">
      <c r="A818" s="49">
        <v>2004</v>
      </c>
      <c r="B818" s="330" t="s">
        <v>24</v>
      </c>
      <c r="C818" s="331">
        <v>138183270085</v>
      </c>
      <c r="D818" s="331">
        <v>33940321744</v>
      </c>
      <c r="E818" s="331">
        <v>1367578906</v>
      </c>
      <c r="F818" s="331">
        <v>1790965</v>
      </c>
      <c r="G818" s="370">
        <f t="shared" si="36"/>
        <v>1.2960794739466886E-5</v>
      </c>
      <c r="H818" s="370">
        <f t="shared" si="37"/>
        <v>5.2768061938499692E-5</v>
      </c>
      <c r="I818" s="331">
        <v>713933</v>
      </c>
      <c r="J818" s="331">
        <v>0</v>
      </c>
      <c r="K818" s="331">
        <f t="shared" si="38"/>
        <v>713933</v>
      </c>
      <c r="L818" s="199">
        <v>4.03</v>
      </c>
      <c r="M818" s="199">
        <v>2.69</v>
      </c>
    </row>
    <row r="819" spans="1:13" ht="15" customHeight="1" x14ac:dyDescent="0.25">
      <c r="A819" s="49">
        <v>2005</v>
      </c>
      <c r="B819" s="330" t="s">
        <v>24</v>
      </c>
      <c r="C819" s="331">
        <v>140018316460</v>
      </c>
      <c r="D819" s="331">
        <v>33722641758</v>
      </c>
      <c r="E819" s="331">
        <v>1458537867</v>
      </c>
      <c r="F819" s="331">
        <v>1728177</v>
      </c>
      <c r="G819" s="370">
        <f t="shared" si="36"/>
        <v>1.2342506635506507E-5</v>
      </c>
      <c r="H819" s="370">
        <f t="shared" si="37"/>
        <v>5.1246785836107446E-5</v>
      </c>
      <c r="I819" s="331">
        <v>441786</v>
      </c>
      <c r="J819" s="331">
        <v>0</v>
      </c>
      <c r="K819" s="331">
        <f t="shared" si="38"/>
        <v>441786</v>
      </c>
      <c r="L819" s="199">
        <v>4.33</v>
      </c>
      <c r="M819" s="199">
        <v>2.69</v>
      </c>
    </row>
    <row r="820" spans="1:13" ht="15" customHeight="1" x14ac:dyDescent="0.25">
      <c r="A820" s="49">
        <v>2006</v>
      </c>
      <c r="B820" s="330" t="s">
        <v>24</v>
      </c>
      <c r="C820" s="331">
        <v>140141827261</v>
      </c>
      <c r="D820" s="331">
        <v>33311644460</v>
      </c>
      <c r="E820" s="331">
        <v>1532836965</v>
      </c>
      <c r="F820" s="331">
        <v>1877441</v>
      </c>
      <c r="G820" s="370">
        <f t="shared" si="36"/>
        <v>1.3396721283671118E-5</v>
      </c>
      <c r="H820" s="370">
        <f t="shared" si="37"/>
        <v>5.635990148293027E-5</v>
      </c>
      <c r="I820" s="331">
        <v>112346</v>
      </c>
      <c r="J820" s="331">
        <v>0</v>
      </c>
      <c r="K820" s="331">
        <f t="shared" si="38"/>
        <v>112346</v>
      </c>
      <c r="L820" s="199">
        <v>4.5999999999999996</v>
      </c>
      <c r="M820" s="199">
        <v>2.69</v>
      </c>
    </row>
    <row r="821" spans="1:13" ht="15" customHeight="1" x14ac:dyDescent="0.25">
      <c r="A821" s="49">
        <v>2007</v>
      </c>
      <c r="B821" s="330" t="s">
        <v>24</v>
      </c>
      <c r="C821" s="331">
        <v>141586268402</v>
      </c>
      <c r="D821" s="331">
        <v>33005588426</v>
      </c>
      <c r="E821" s="331">
        <v>1561316526</v>
      </c>
      <c r="F821" s="331">
        <v>1772196</v>
      </c>
      <c r="G821" s="370">
        <f t="shared" si="36"/>
        <v>1.2516722278238717E-5</v>
      </c>
      <c r="H821" s="370">
        <f t="shared" si="37"/>
        <v>5.3693816244886605E-5</v>
      </c>
      <c r="I821" s="331">
        <v>31111</v>
      </c>
      <c r="J821" s="331">
        <v>134600</v>
      </c>
      <c r="K821" s="331">
        <f t="shared" si="38"/>
        <v>-103489</v>
      </c>
      <c r="L821" s="199">
        <v>4.7300000000000004</v>
      </c>
      <c r="M821" s="199">
        <v>2.69</v>
      </c>
    </row>
    <row r="822" spans="1:13" ht="15" customHeight="1" x14ac:dyDescent="0.25">
      <c r="A822" s="49">
        <v>2008</v>
      </c>
      <c r="B822" s="330" t="s">
        <v>24</v>
      </c>
      <c r="C822" s="331">
        <v>138908214439</v>
      </c>
      <c r="D822" s="331">
        <v>31761714170</v>
      </c>
      <c r="E822" s="331">
        <v>1497834789</v>
      </c>
      <c r="F822" s="331">
        <v>2149288</v>
      </c>
      <c r="G822" s="370">
        <f t="shared" si="36"/>
        <v>1.5472720664362408E-5</v>
      </c>
      <c r="H822" s="370">
        <f t="shared" si="37"/>
        <v>6.7669143689671332E-5</v>
      </c>
      <c r="I822" s="331">
        <v>29716</v>
      </c>
      <c r="J822" s="331">
        <v>772500</v>
      </c>
      <c r="K822" s="331">
        <f t="shared" si="38"/>
        <v>-742784</v>
      </c>
      <c r="L822" s="199">
        <v>4.7</v>
      </c>
      <c r="M822" s="199">
        <v>2.69</v>
      </c>
    </row>
    <row r="823" spans="1:13" ht="15" customHeight="1" x14ac:dyDescent="0.25">
      <c r="A823" s="49">
        <v>2009</v>
      </c>
      <c r="B823" s="330" t="s">
        <v>24</v>
      </c>
      <c r="C823" s="331">
        <v>122803171337</v>
      </c>
      <c r="D823" s="331">
        <v>28700096671</v>
      </c>
      <c r="E823" s="331">
        <v>1311638114</v>
      </c>
      <c r="F823" s="331">
        <v>3635514</v>
      </c>
      <c r="G823" s="370">
        <f t="shared" si="36"/>
        <v>2.9604398326353624E-5</v>
      </c>
      <c r="H823" s="370">
        <f t="shared" si="37"/>
        <v>1.2667253499788742E-4</v>
      </c>
      <c r="I823" s="331">
        <v>115056</v>
      </c>
      <c r="J823" s="331">
        <v>3159082</v>
      </c>
      <c r="K823" s="331">
        <f t="shared" si="38"/>
        <v>-3044026</v>
      </c>
      <c r="L823" s="199">
        <v>4.5999999999999996</v>
      </c>
      <c r="M823" s="199">
        <v>2.16</v>
      </c>
    </row>
    <row r="824" spans="1:13" ht="15" customHeight="1" x14ac:dyDescent="0.25">
      <c r="A824" s="49">
        <v>2010</v>
      </c>
      <c r="B824" s="330" t="s">
        <v>24</v>
      </c>
      <c r="C824" s="331">
        <v>125375864863</v>
      </c>
      <c r="D824" s="331">
        <v>28827291050</v>
      </c>
      <c r="E824" s="331">
        <v>1470882117</v>
      </c>
      <c r="F824" s="331">
        <v>1975665</v>
      </c>
      <c r="G824" s="370">
        <f t="shared" si="36"/>
        <v>1.5757937160862956E-5</v>
      </c>
      <c r="H824" s="370">
        <f t="shared" si="37"/>
        <v>6.8534535436343055E-5</v>
      </c>
      <c r="I824" s="331">
        <v>188013</v>
      </c>
      <c r="J824" s="331">
        <v>3710392</v>
      </c>
      <c r="K824" s="331">
        <f t="shared" si="38"/>
        <v>-3522379</v>
      </c>
      <c r="L824" s="199">
        <v>5.0999999999999996</v>
      </c>
      <c r="M824" s="199">
        <v>2.17</v>
      </c>
    </row>
    <row r="825" spans="1:13" ht="15" customHeight="1" x14ac:dyDescent="0.25">
      <c r="A825" s="49">
        <v>2011</v>
      </c>
      <c r="B825" s="330" t="s">
        <v>24</v>
      </c>
      <c r="C825" s="331">
        <v>135231302331</v>
      </c>
      <c r="D825" s="331">
        <v>30037700454</v>
      </c>
      <c r="E825" s="331">
        <v>1654480796</v>
      </c>
      <c r="F825" s="331">
        <v>1466033</v>
      </c>
      <c r="G825" s="370">
        <f t="shared" si="36"/>
        <v>1.0840929390827372E-5</v>
      </c>
      <c r="H825" s="370">
        <f t="shared" si="37"/>
        <v>4.8806432511206903E-5</v>
      </c>
      <c r="I825" s="331">
        <v>113939</v>
      </c>
      <c r="J825" s="331">
        <v>0</v>
      </c>
      <c r="K825" s="331">
        <f t="shared" si="38"/>
        <v>113939</v>
      </c>
      <c r="L825" s="199">
        <v>5.5</v>
      </c>
      <c r="M825" s="199">
        <v>2.17</v>
      </c>
    </row>
    <row r="826" spans="1:13" ht="15" customHeight="1" x14ac:dyDescent="0.25">
      <c r="A826" s="49">
        <v>2012</v>
      </c>
      <c r="B826" s="330" t="s">
        <v>24</v>
      </c>
      <c r="C826" s="331">
        <v>141961782682</v>
      </c>
      <c r="D826" s="331">
        <v>32718718478</v>
      </c>
      <c r="E826" s="331">
        <v>1820762565</v>
      </c>
      <c r="F826" s="331">
        <v>1281482</v>
      </c>
      <c r="G826" s="370">
        <f t="shared" si="36"/>
        <v>9.0269506045198827E-6</v>
      </c>
      <c r="H826" s="370">
        <f t="shared" si="37"/>
        <v>3.916663181235738E-5</v>
      </c>
      <c r="I826" s="331">
        <v>865708</v>
      </c>
      <c r="J826" s="331">
        <v>0</v>
      </c>
      <c r="K826" s="331">
        <f t="shared" si="38"/>
        <v>865708</v>
      </c>
      <c r="L826" s="199">
        <v>5.56</v>
      </c>
      <c r="M826" s="199">
        <v>2.17</v>
      </c>
    </row>
    <row r="827" spans="1:13" ht="15" customHeight="1" x14ac:dyDescent="0.25">
      <c r="A827" s="49">
        <v>2013</v>
      </c>
      <c r="B827" s="330" t="s">
        <v>24</v>
      </c>
      <c r="C827" s="331">
        <v>147298758979</v>
      </c>
      <c r="D827" s="331">
        <v>34287076720</v>
      </c>
      <c r="E827" s="331">
        <v>1781204256</v>
      </c>
      <c r="F827" s="331">
        <v>1085726</v>
      </c>
      <c r="G827" s="370">
        <f t="shared" si="36"/>
        <v>7.3709107091308833E-6</v>
      </c>
      <c r="H827" s="370">
        <f t="shared" si="37"/>
        <v>3.1665750010314673E-5</v>
      </c>
      <c r="I827" s="331">
        <v>1543097</v>
      </c>
      <c r="J827" s="331">
        <v>0</v>
      </c>
      <c r="K827" s="331">
        <f t="shared" si="38"/>
        <v>1543097</v>
      </c>
      <c r="L827" s="199">
        <v>5.2</v>
      </c>
      <c r="M827" s="199">
        <v>2.17</v>
      </c>
    </row>
    <row r="828" spans="1:13" ht="15" customHeight="1" x14ac:dyDescent="0.25">
      <c r="A828" s="49">
        <v>2014</v>
      </c>
      <c r="B828" s="330" t="s">
        <v>24</v>
      </c>
      <c r="C828" s="331">
        <v>155198171620</v>
      </c>
      <c r="D828" s="331">
        <v>34987390224</v>
      </c>
      <c r="E828" s="331">
        <v>1533295229</v>
      </c>
      <c r="F828" s="331">
        <v>1002875</v>
      </c>
      <c r="G828" s="370">
        <f t="shared" si="36"/>
        <v>6.461899579948157E-6</v>
      </c>
      <c r="H828" s="370">
        <f t="shared" si="37"/>
        <v>2.8663898438245516E-5</v>
      </c>
      <c r="I828" s="331">
        <v>2078852</v>
      </c>
      <c r="J828" s="331">
        <v>0</v>
      </c>
      <c r="K828" s="331">
        <f t="shared" si="38"/>
        <v>2078852</v>
      </c>
      <c r="L828" s="333">
        <v>4.3824224075684803</v>
      </c>
      <c r="M828" s="199">
        <v>2.17</v>
      </c>
    </row>
    <row r="829" spans="1:13" ht="15" customHeight="1" x14ac:dyDescent="0.25">
      <c r="A829" s="49">
        <v>2015</v>
      </c>
      <c r="B829" s="330" t="s">
        <v>24</v>
      </c>
      <c r="C829" s="334">
        <v>163758082000</v>
      </c>
      <c r="D829" s="334">
        <v>35883386000</v>
      </c>
      <c r="E829" s="334">
        <v>1360638000</v>
      </c>
      <c r="F829" s="331">
        <v>865000</v>
      </c>
      <c r="G829" s="370">
        <f t="shared" si="36"/>
        <v>5.2821820421663216E-6</v>
      </c>
      <c r="H829" s="370">
        <f t="shared" si="37"/>
        <v>2.4105863365291112E-5</v>
      </c>
      <c r="I829" s="331">
        <v>2689825</v>
      </c>
      <c r="J829" s="199">
        <v>0</v>
      </c>
      <c r="K829" s="331">
        <f t="shared" si="38"/>
        <v>2689825</v>
      </c>
      <c r="L829" s="199">
        <v>3.9</v>
      </c>
      <c r="M829" s="199">
        <v>2.17</v>
      </c>
    </row>
    <row r="830" spans="1:13" ht="15" customHeight="1" x14ac:dyDescent="0.25">
      <c r="A830" s="49">
        <v>1980</v>
      </c>
      <c r="B830" s="330" t="s">
        <v>25</v>
      </c>
      <c r="C830" s="331">
        <v>18818254945</v>
      </c>
      <c r="D830" s="331">
        <v>9559473081</v>
      </c>
      <c r="E830" s="331">
        <v>190579551</v>
      </c>
      <c r="F830" s="331">
        <v>284145</v>
      </c>
      <c r="G830" s="370">
        <f t="shared" si="36"/>
        <v>1.5099434077732972E-5</v>
      </c>
      <c r="H830" s="370">
        <f t="shared" si="37"/>
        <v>2.9723918629443547E-5</v>
      </c>
      <c r="I830" s="331">
        <v>15385</v>
      </c>
      <c r="J830" s="331">
        <v>28200</v>
      </c>
      <c r="K830" s="331">
        <f t="shared" si="38"/>
        <v>-12815</v>
      </c>
      <c r="L830" s="199">
        <v>1.99</v>
      </c>
      <c r="M830" s="199">
        <v>1.66</v>
      </c>
    </row>
    <row r="831" spans="1:13" ht="15" customHeight="1" x14ac:dyDescent="0.25">
      <c r="A831" s="49">
        <v>1981</v>
      </c>
      <c r="B831" s="330" t="s">
        <v>25</v>
      </c>
      <c r="C831" s="331">
        <v>20378782350</v>
      </c>
      <c r="D831" s="331">
        <v>9713674294</v>
      </c>
      <c r="E831" s="331">
        <v>188978516</v>
      </c>
      <c r="F831" s="331">
        <v>259134</v>
      </c>
      <c r="G831" s="370">
        <f t="shared" si="36"/>
        <v>1.2715872594811829E-5</v>
      </c>
      <c r="H831" s="370">
        <f t="shared" si="37"/>
        <v>2.6677237897513553E-5</v>
      </c>
      <c r="I831" s="331">
        <v>29854</v>
      </c>
      <c r="J831" s="331">
        <v>114000</v>
      </c>
      <c r="K831" s="331">
        <f t="shared" si="38"/>
        <v>-84146</v>
      </c>
      <c r="L831" s="199">
        <v>1.95</v>
      </c>
      <c r="M831" s="199">
        <v>1.66</v>
      </c>
    </row>
    <row r="832" spans="1:13" ht="15" customHeight="1" x14ac:dyDescent="0.25">
      <c r="A832" s="49">
        <v>1982</v>
      </c>
      <c r="B832" s="330" t="s">
        <v>25</v>
      </c>
      <c r="C832" s="331">
        <v>21119746789</v>
      </c>
      <c r="D832" s="331">
        <v>9725842496</v>
      </c>
      <c r="E832" s="331">
        <v>209850009</v>
      </c>
      <c r="F832" s="331">
        <v>399664</v>
      </c>
      <c r="G832" s="370">
        <f t="shared" si="36"/>
        <v>1.8923711727839504E-5</v>
      </c>
      <c r="H832" s="370">
        <f t="shared" si="37"/>
        <v>4.1092995302398942E-5</v>
      </c>
      <c r="I832" s="331">
        <v>94</v>
      </c>
      <c r="J832" s="331">
        <v>288047</v>
      </c>
      <c r="K832" s="331">
        <f t="shared" si="38"/>
        <v>-287953</v>
      </c>
      <c r="L832" s="199">
        <v>2.16</v>
      </c>
      <c r="M832" s="199">
        <v>1.79</v>
      </c>
    </row>
    <row r="833" spans="1:13" ht="15" customHeight="1" x14ac:dyDescent="0.25">
      <c r="A833" s="49">
        <v>1983</v>
      </c>
      <c r="B833" s="330" t="s">
        <v>25</v>
      </c>
      <c r="C833" s="331">
        <v>22360877820</v>
      </c>
      <c r="D833" s="331">
        <v>10418419415</v>
      </c>
      <c r="E833" s="331">
        <v>259883007</v>
      </c>
      <c r="F833" s="331">
        <v>303649</v>
      </c>
      <c r="G833" s="370">
        <f t="shared" si="36"/>
        <v>1.3579475834728209E-5</v>
      </c>
      <c r="H833" s="370">
        <f t="shared" si="37"/>
        <v>2.9145399883097334E-5</v>
      </c>
      <c r="I833" s="331">
        <v>0</v>
      </c>
      <c r="J833" s="331">
        <v>351753</v>
      </c>
      <c r="K833" s="331">
        <f t="shared" si="38"/>
        <v>-351753</v>
      </c>
      <c r="L833" s="199">
        <v>2.4900000000000002</v>
      </c>
      <c r="M833" s="199">
        <v>1.79</v>
      </c>
    </row>
    <row r="834" spans="1:13" ht="15" customHeight="1" x14ac:dyDescent="0.25">
      <c r="A834" s="49">
        <v>1984</v>
      </c>
      <c r="B834" s="330" t="s">
        <v>25</v>
      </c>
      <c r="C834" s="331">
        <v>25080089614</v>
      </c>
      <c r="D834" s="331">
        <v>11939737542</v>
      </c>
      <c r="E834" s="331">
        <v>327618681</v>
      </c>
      <c r="F834" s="331">
        <v>242857</v>
      </c>
      <c r="G834" s="370">
        <f t="shared" ref="G834:G897" si="39">F834/C834</f>
        <v>9.6832588614210684E-6</v>
      </c>
      <c r="H834" s="370">
        <f t="shared" ref="H834:H897" si="40">F834/D834</f>
        <v>2.0340229351416675E-5</v>
      </c>
      <c r="I834" s="331">
        <v>0</v>
      </c>
      <c r="J834" s="331">
        <v>204063</v>
      </c>
      <c r="K834" s="331">
        <f t="shared" ref="K834:K897" si="41">I834-J834</f>
        <v>-204063</v>
      </c>
      <c r="L834" s="199">
        <v>2.74</v>
      </c>
      <c r="M834" s="199">
        <v>1.79</v>
      </c>
    </row>
    <row r="835" spans="1:13" ht="15" customHeight="1" x14ac:dyDescent="0.25">
      <c r="A835" s="49">
        <v>1985</v>
      </c>
      <c r="B835" s="330" t="s">
        <v>25</v>
      </c>
      <c r="C835" s="331">
        <v>26825539117</v>
      </c>
      <c r="D835" s="331">
        <v>12788301877</v>
      </c>
      <c r="E835" s="331">
        <v>347107159</v>
      </c>
      <c r="F835" s="331">
        <v>317556</v>
      </c>
      <c r="G835" s="370">
        <f t="shared" si="39"/>
        <v>1.183782359843635E-5</v>
      </c>
      <c r="H835" s="370">
        <f t="shared" si="40"/>
        <v>2.483175663620597E-5</v>
      </c>
      <c r="I835" s="331">
        <v>0</v>
      </c>
      <c r="J835" s="331">
        <v>86159</v>
      </c>
      <c r="K835" s="331">
        <f t="shared" si="41"/>
        <v>-86159</v>
      </c>
      <c r="L835" s="199">
        <v>2.71</v>
      </c>
      <c r="M835" s="199">
        <v>1.79</v>
      </c>
    </row>
    <row r="836" spans="1:13" ht="15" customHeight="1" x14ac:dyDescent="0.25">
      <c r="A836" s="49">
        <v>1986</v>
      </c>
      <c r="B836" s="330" t="s">
        <v>25</v>
      </c>
      <c r="C836" s="331">
        <v>28373418407</v>
      </c>
      <c r="D836" s="331">
        <v>13353842666</v>
      </c>
      <c r="E836" s="331">
        <v>361344433</v>
      </c>
      <c r="F836" s="331">
        <v>339767</v>
      </c>
      <c r="G836" s="370">
        <f t="shared" si="39"/>
        <v>1.1974834865726865E-5</v>
      </c>
      <c r="H836" s="370">
        <f t="shared" si="40"/>
        <v>2.5443387981878443E-5</v>
      </c>
      <c r="I836" s="331">
        <v>56576</v>
      </c>
      <c r="J836" s="331">
        <v>0</v>
      </c>
      <c r="K836" s="331">
        <f t="shared" si="41"/>
        <v>56576</v>
      </c>
      <c r="L836" s="199">
        <v>2.71</v>
      </c>
      <c r="M836" s="199">
        <v>1.79</v>
      </c>
    </row>
    <row r="837" spans="1:13" ht="15" customHeight="1" x14ac:dyDescent="0.25">
      <c r="A837" s="49">
        <v>1987</v>
      </c>
      <c r="B837" s="330" t="s">
        <v>25</v>
      </c>
      <c r="C837" s="331">
        <v>30694367463</v>
      </c>
      <c r="D837" s="331">
        <v>14338899942</v>
      </c>
      <c r="E837" s="331">
        <v>384429998</v>
      </c>
      <c r="F837" s="331">
        <v>304258</v>
      </c>
      <c r="G837" s="370">
        <f t="shared" si="39"/>
        <v>9.912502688539277E-6</v>
      </c>
      <c r="H837" s="370">
        <f t="shared" si="40"/>
        <v>2.1219061520110019E-5</v>
      </c>
      <c r="I837" s="331">
        <v>155132</v>
      </c>
      <c r="J837" s="331">
        <v>0</v>
      </c>
      <c r="K837" s="331">
        <f t="shared" si="41"/>
        <v>155132</v>
      </c>
      <c r="L837" s="199">
        <v>2.68</v>
      </c>
      <c r="M837" s="199">
        <v>1.79</v>
      </c>
    </row>
    <row r="838" spans="1:13" ht="15" customHeight="1" x14ac:dyDescent="0.25">
      <c r="A838" s="49">
        <v>1988</v>
      </c>
      <c r="B838" s="330" t="s">
        <v>25</v>
      </c>
      <c r="C838" s="331">
        <v>33386074959</v>
      </c>
      <c r="D838" s="331">
        <v>15826848233</v>
      </c>
      <c r="E838" s="331">
        <v>376954255</v>
      </c>
      <c r="F838" s="331">
        <v>294263</v>
      </c>
      <c r="G838" s="370">
        <f t="shared" si="39"/>
        <v>8.813944147713431E-6</v>
      </c>
      <c r="H838" s="370">
        <f t="shared" si="40"/>
        <v>1.8592646853493083E-5</v>
      </c>
      <c r="I838" s="331">
        <v>273513</v>
      </c>
      <c r="J838" s="331">
        <v>0</v>
      </c>
      <c r="K838" s="331">
        <f t="shared" si="41"/>
        <v>273513</v>
      </c>
      <c r="L838" s="199">
        <v>2.38</v>
      </c>
      <c r="M838" s="199">
        <v>1.79</v>
      </c>
    </row>
    <row r="839" spans="1:13" ht="15" customHeight="1" x14ac:dyDescent="0.25">
      <c r="A839" s="49">
        <v>1989</v>
      </c>
      <c r="B839" s="330" t="s">
        <v>25</v>
      </c>
      <c r="C839" s="331">
        <v>35398329888</v>
      </c>
      <c r="D839" s="331">
        <v>17098230806</v>
      </c>
      <c r="E839" s="331">
        <v>359019250</v>
      </c>
      <c r="F839" s="331">
        <v>314100</v>
      </c>
      <c r="G839" s="370">
        <f t="shared" si="39"/>
        <v>8.8732999831859185E-6</v>
      </c>
      <c r="H839" s="370">
        <f t="shared" si="40"/>
        <v>1.8370321676192257E-5</v>
      </c>
      <c r="I839" s="331">
        <v>358951</v>
      </c>
      <c r="J839" s="331">
        <v>0</v>
      </c>
      <c r="K839" s="331">
        <f t="shared" si="41"/>
        <v>358951</v>
      </c>
      <c r="L839" s="199">
        <v>2.1</v>
      </c>
      <c r="M839" s="199">
        <v>1.79</v>
      </c>
    </row>
    <row r="840" spans="1:13" ht="15" customHeight="1" x14ac:dyDescent="0.25">
      <c r="A840" s="49">
        <v>1990</v>
      </c>
      <c r="B840" s="330" t="s">
        <v>25</v>
      </c>
      <c r="C840" s="331">
        <v>37283117762</v>
      </c>
      <c r="D840" s="331">
        <v>18165451659</v>
      </c>
      <c r="E840" s="331">
        <v>359177797</v>
      </c>
      <c r="F840" s="331">
        <v>340934</v>
      </c>
      <c r="G840" s="370">
        <f t="shared" si="39"/>
        <v>9.1444605619192474E-6</v>
      </c>
      <c r="H840" s="370">
        <f t="shared" si="40"/>
        <v>1.8768264417531596E-5</v>
      </c>
      <c r="I840" s="331">
        <v>409119</v>
      </c>
      <c r="J840" s="331">
        <v>0</v>
      </c>
      <c r="K840" s="331">
        <f t="shared" si="41"/>
        <v>409119</v>
      </c>
      <c r="L840" s="199">
        <v>1.98</v>
      </c>
      <c r="M840" s="199">
        <v>1.79</v>
      </c>
    </row>
    <row r="841" spans="1:13" x14ac:dyDescent="0.25">
      <c r="A841" s="49">
        <v>1991</v>
      </c>
      <c r="B841" s="330" t="s">
        <v>25</v>
      </c>
      <c r="C841" s="331">
        <v>38468018889</v>
      </c>
      <c r="D841" s="331">
        <v>18620681384</v>
      </c>
      <c r="E841" s="331">
        <v>278279198</v>
      </c>
      <c r="F841" s="331">
        <v>407859</v>
      </c>
      <c r="G841" s="370">
        <f t="shared" si="39"/>
        <v>1.0602547564949543E-5</v>
      </c>
      <c r="H841" s="370">
        <f t="shared" si="40"/>
        <v>2.1903548618282937E-5</v>
      </c>
      <c r="I841" s="331">
        <v>309473</v>
      </c>
      <c r="J841" s="331">
        <v>0</v>
      </c>
      <c r="K841" s="331">
        <f t="shared" si="41"/>
        <v>309473</v>
      </c>
      <c r="L841" s="199">
        <v>1.49</v>
      </c>
      <c r="M841" s="199">
        <v>1.79</v>
      </c>
    </row>
    <row r="842" spans="1:13" ht="15" customHeight="1" x14ac:dyDescent="0.25">
      <c r="A842" s="49">
        <v>1992</v>
      </c>
      <c r="B842" s="330" t="s">
        <v>25</v>
      </c>
      <c r="C842" s="331">
        <v>41734769025</v>
      </c>
      <c r="D842" s="331">
        <v>19800999251</v>
      </c>
      <c r="E842" s="331">
        <v>285843457</v>
      </c>
      <c r="F842" s="331">
        <v>375642</v>
      </c>
      <c r="G842" s="370">
        <f t="shared" si="39"/>
        <v>9.0006967517894396E-6</v>
      </c>
      <c r="H842" s="370">
        <f t="shared" si="40"/>
        <v>1.8970860775171694E-5</v>
      </c>
      <c r="I842" s="331">
        <v>224091</v>
      </c>
      <c r="J842" s="331">
        <v>0</v>
      </c>
      <c r="K842" s="331">
        <f t="shared" si="41"/>
        <v>224091</v>
      </c>
      <c r="L842" s="199">
        <v>1.44</v>
      </c>
      <c r="M842" s="199">
        <v>1.79</v>
      </c>
    </row>
    <row r="843" spans="1:13" ht="15" customHeight="1" x14ac:dyDescent="0.25">
      <c r="A843" s="49">
        <v>1993</v>
      </c>
      <c r="B843" s="330" t="s">
        <v>25</v>
      </c>
      <c r="C843" s="331">
        <v>43533757114</v>
      </c>
      <c r="D843" s="331">
        <v>20965105716</v>
      </c>
      <c r="E843" s="331">
        <v>374771118</v>
      </c>
      <c r="F843" s="331">
        <v>347284</v>
      </c>
      <c r="G843" s="370">
        <f t="shared" si="39"/>
        <v>7.9773496023001681E-6</v>
      </c>
      <c r="H843" s="370">
        <f t="shared" si="40"/>
        <v>1.6564858040995341E-5</v>
      </c>
      <c r="I843" s="331">
        <v>257584</v>
      </c>
      <c r="J843" s="331">
        <v>0</v>
      </c>
      <c r="K843" s="331">
        <f t="shared" si="41"/>
        <v>257584</v>
      </c>
      <c r="L843" s="199">
        <v>1.79</v>
      </c>
      <c r="M843" s="199">
        <v>1.79</v>
      </c>
    </row>
    <row r="844" spans="1:13" ht="15" customHeight="1" x14ac:dyDescent="0.25">
      <c r="A844" s="49">
        <v>1994</v>
      </c>
      <c r="B844" s="330" t="s">
        <v>25</v>
      </c>
      <c r="C844" s="331">
        <v>46178168774</v>
      </c>
      <c r="D844" s="331">
        <v>22811463335</v>
      </c>
      <c r="E844" s="331">
        <v>434734301</v>
      </c>
      <c r="F844" s="331">
        <v>337773</v>
      </c>
      <c r="G844" s="370">
        <f t="shared" si="39"/>
        <v>7.3145602991121331E-6</v>
      </c>
      <c r="H844" s="370">
        <f t="shared" si="40"/>
        <v>1.4807160550798571E-5</v>
      </c>
      <c r="I844" s="331">
        <v>369776</v>
      </c>
      <c r="J844" s="331">
        <v>0</v>
      </c>
      <c r="K844" s="331">
        <f t="shared" si="41"/>
        <v>369776</v>
      </c>
      <c r="L844" s="199">
        <v>1.91</v>
      </c>
      <c r="M844" s="199">
        <v>1.79</v>
      </c>
    </row>
    <row r="845" spans="1:13" ht="15" customHeight="1" x14ac:dyDescent="0.25">
      <c r="A845" s="49">
        <v>1995</v>
      </c>
      <c r="B845" s="330" t="s">
        <v>25</v>
      </c>
      <c r="C845" s="331">
        <v>49617167682</v>
      </c>
      <c r="D845" s="331">
        <v>24085858066</v>
      </c>
      <c r="E845" s="331">
        <v>391761290</v>
      </c>
      <c r="F845" s="331">
        <v>328442</v>
      </c>
      <c r="G845" s="370">
        <f t="shared" si="39"/>
        <v>6.619523349357795E-6</v>
      </c>
      <c r="H845" s="370">
        <f t="shared" si="40"/>
        <v>1.3636300566913753E-5</v>
      </c>
      <c r="I845" s="331">
        <v>459621</v>
      </c>
      <c r="J845" s="331">
        <v>0</v>
      </c>
      <c r="K845" s="331">
        <f t="shared" si="41"/>
        <v>459621</v>
      </c>
      <c r="L845" s="199">
        <v>1.63</v>
      </c>
      <c r="M845" s="199">
        <v>1.7</v>
      </c>
    </row>
    <row r="846" spans="1:13" ht="15" customHeight="1" x14ac:dyDescent="0.25">
      <c r="A846" s="49">
        <v>1996</v>
      </c>
      <c r="B846" s="330" t="s">
        <v>25</v>
      </c>
      <c r="C846" s="331">
        <v>53854335931</v>
      </c>
      <c r="D846" s="331">
        <v>25659343663</v>
      </c>
      <c r="E846" s="331">
        <v>353110692</v>
      </c>
      <c r="F846" s="331">
        <v>338745</v>
      </c>
      <c r="G846" s="370">
        <f t="shared" si="39"/>
        <v>6.2900227835695823E-6</v>
      </c>
      <c r="H846" s="370">
        <f t="shared" si="40"/>
        <v>1.3201623722295754E-5</v>
      </c>
      <c r="I846" s="331">
        <v>513033</v>
      </c>
      <c r="J846" s="331">
        <v>0</v>
      </c>
      <c r="K846" s="331">
        <f t="shared" si="41"/>
        <v>513033</v>
      </c>
      <c r="L846" s="199">
        <v>1.38</v>
      </c>
      <c r="M846" s="199">
        <v>1.66</v>
      </c>
    </row>
    <row r="847" spans="1:13" ht="15" customHeight="1" x14ac:dyDescent="0.25">
      <c r="A847" s="49">
        <v>1997</v>
      </c>
      <c r="B847" s="330" t="s">
        <v>25</v>
      </c>
      <c r="C847" s="331">
        <v>58348052703</v>
      </c>
      <c r="D847" s="331">
        <v>27590033019</v>
      </c>
      <c r="E847" s="331">
        <v>353020997</v>
      </c>
      <c r="F847" s="331">
        <v>330522</v>
      </c>
      <c r="G847" s="370">
        <f t="shared" si="39"/>
        <v>5.6646620527750023E-6</v>
      </c>
      <c r="H847" s="370">
        <f t="shared" si="40"/>
        <v>1.1979760943830133E-5</v>
      </c>
      <c r="I847" s="331">
        <v>564628</v>
      </c>
      <c r="J847" s="331">
        <v>0</v>
      </c>
      <c r="K847" s="331">
        <f t="shared" si="41"/>
        <v>564628</v>
      </c>
      <c r="L847" s="199">
        <v>1.28</v>
      </c>
      <c r="M847" s="199">
        <v>1.66</v>
      </c>
    </row>
    <row r="848" spans="1:13" ht="15" customHeight="1" x14ac:dyDescent="0.25">
      <c r="A848" s="49">
        <v>1998</v>
      </c>
      <c r="B848" s="330" t="s">
        <v>25</v>
      </c>
      <c r="C848" s="331">
        <v>63774328519</v>
      </c>
      <c r="D848" s="331">
        <v>30009135665</v>
      </c>
      <c r="E848" s="331">
        <v>352038777</v>
      </c>
      <c r="F848" s="331">
        <v>315605</v>
      </c>
      <c r="G848" s="370">
        <f t="shared" si="39"/>
        <v>4.9487780950288362E-6</v>
      </c>
      <c r="H848" s="370">
        <f t="shared" si="40"/>
        <v>1.0516964017997151E-5</v>
      </c>
      <c r="I848" s="331">
        <v>645615</v>
      </c>
      <c r="J848" s="331">
        <v>0</v>
      </c>
      <c r="K848" s="331">
        <f t="shared" si="41"/>
        <v>645615</v>
      </c>
      <c r="L848" s="199">
        <v>1.17</v>
      </c>
      <c r="M848" s="199">
        <v>1.66</v>
      </c>
    </row>
    <row r="849" spans="1:13" ht="15" customHeight="1" x14ac:dyDescent="0.25">
      <c r="A849" s="49">
        <v>1999</v>
      </c>
      <c r="B849" s="330" t="s">
        <v>25</v>
      </c>
      <c r="C849" s="331">
        <v>68323934648</v>
      </c>
      <c r="D849" s="331">
        <v>32361876937</v>
      </c>
      <c r="E849" s="331">
        <v>345869992</v>
      </c>
      <c r="F849" s="331">
        <v>336382</v>
      </c>
      <c r="G849" s="370">
        <f t="shared" si="39"/>
        <v>4.9233405794472451E-6</v>
      </c>
      <c r="H849" s="370">
        <f t="shared" si="40"/>
        <v>1.0394390926547512E-5</v>
      </c>
      <c r="I849" s="331">
        <v>700857</v>
      </c>
      <c r="J849" s="331">
        <v>0</v>
      </c>
      <c r="K849" s="331">
        <f t="shared" si="41"/>
        <v>700857</v>
      </c>
      <c r="L849" s="199">
        <v>1.07</v>
      </c>
      <c r="M849" s="199">
        <v>1.66</v>
      </c>
    </row>
    <row r="850" spans="1:13" ht="15" customHeight="1" x14ac:dyDescent="0.25">
      <c r="A850" s="49">
        <v>2000</v>
      </c>
      <c r="B850" s="330" t="s">
        <v>25</v>
      </c>
      <c r="C850" s="331">
        <v>74013169680</v>
      </c>
      <c r="D850" s="331">
        <v>34895627152</v>
      </c>
      <c r="E850" s="331">
        <v>340652126</v>
      </c>
      <c r="F850" s="331">
        <v>374257</v>
      </c>
      <c r="G850" s="370">
        <f t="shared" si="39"/>
        <v>5.0566271059342642E-6</v>
      </c>
      <c r="H850" s="370">
        <f t="shared" si="40"/>
        <v>1.0725040085102753E-5</v>
      </c>
      <c r="I850" s="331">
        <v>720226</v>
      </c>
      <c r="J850" s="331">
        <v>0</v>
      </c>
      <c r="K850" s="331">
        <f t="shared" si="41"/>
        <v>720226</v>
      </c>
      <c r="L850" s="199">
        <v>0.98</v>
      </c>
      <c r="M850" s="199">
        <v>1.66</v>
      </c>
    </row>
    <row r="851" spans="1:13" ht="15" customHeight="1" x14ac:dyDescent="0.25">
      <c r="A851" s="49">
        <v>2001</v>
      </c>
      <c r="B851" s="330" t="s">
        <v>25</v>
      </c>
      <c r="C851" s="331">
        <v>75901549392</v>
      </c>
      <c r="D851" s="331">
        <v>36147985605</v>
      </c>
      <c r="E851" s="331">
        <v>327416491</v>
      </c>
      <c r="F851" s="331">
        <v>633839</v>
      </c>
      <c r="G851" s="370">
        <f t="shared" si="39"/>
        <v>8.3508044971056465E-6</v>
      </c>
      <c r="H851" s="370">
        <f t="shared" si="40"/>
        <v>1.7534559378388355E-5</v>
      </c>
      <c r="I851" s="331">
        <v>450003</v>
      </c>
      <c r="J851" s="331">
        <v>0</v>
      </c>
      <c r="K851" s="331">
        <f t="shared" si="41"/>
        <v>450003</v>
      </c>
      <c r="L851" s="199">
        <v>0.91</v>
      </c>
      <c r="M851" s="199">
        <v>1.57</v>
      </c>
    </row>
    <row r="852" spans="1:13" ht="15" customHeight="1" x14ac:dyDescent="0.25">
      <c r="A852" s="49">
        <v>2002</v>
      </c>
      <c r="B852" s="330" t="s">
        <v>25</v>
      </c>
      <c r="C852" s="331">
        <v>75746156253</v>
      </c>
      <c r="D852" s="331">
        <v>36793276652</v>
      </c>
      <c r="E852" s="331">
        <v>336528501</v>
      </c>
      <c r="F852" s="331">
        <v>818778</v>
      </c>
      <c r="G852" s="370">
        <f t="shared" si="39"/>
        <v>1.0809498996426918E-5</v>
      </c>
      <c r="H852" s="370">
        <f t="shared" si="40"/>
        <v>2.2253467875237284E-5</v>
      </c>
      <c r="I852" s="331">
        <v>131356</v>
      </c>
      <c r="J852" s="331">
        <v>0</v>
      </c>
      <c r="K852" s="331">
        <f t="shared" si="41"/>
        <v>131356</v>
      </c>
      <c r="L852" s="199">
        <v>0.92</v>
      </c>
      <c r="M852" s="199">
        <v>1.57</v>
      </c>
    </row>
    <row r="853" spans="1:13" ht="15" customHeight="1" x14ac:dyDescent="0.25">
      <c r="A853" s="49">
        <v>2003</v>
      </c>
      <c r="B853" s="330" t="s">
        <v>25</v>
      </c>
      <c r="C853" s="331">
        <v>77634938328</v>
      </c>
      <c r="D853" s="331">
        <v>37697582327</v>
      </c>
      <c r="E853" s="331">
        <v>513975128</v>
      </c>
      <c r="F853" s="331">
        <v>794504</v>
      </c>
      <c r="G853" s="370">
        <f t="shared" si="39"/>
        <v>1.0233845960478496E-5</v>
      </c>
      <c r="H853" s="370">
        <f t="shared" si="40"/>
        <v>2.1075728228623173E-5</v>
      </c>
      <c r="I853" s="331">
        <v>0</v>
      </c>
      <c r="J853" s="331">
        <v>175548</v>
      </c>
      <c r="K853" s="331">
        <f t="shared" si="41"/>
        <v>-175548</v>
      </c>
      <c r="L853" s="199">
        <v>1.36</v>
      </c>
      <c r="M853" s="199">
        <v>1.57</v>
      </c>
    </row>
    <row r="854" spans="1:13" ht="15" customHeight="1" x14ac:dyDescent="0.25">
      <c r="A854" s="49">
        <v>2004</v>
      </c>
      <c r="B854" s="330" t="s">
        <v>25</v>
      </c>
      <c r="C854" s="331">
        <v>82274928702</v>
      </c>
      <c r="D854" s="331">
        <v>38474621003</v>
      </c>
      <c r="E854" s="331">
        <v>617963207</v>
      </c>
      <c r="F854" s="331">
        <v>628584</v>
      </c>
      <c r="G854" s="370">
        <f t="shared" si="39"/>
        <v>7.6400430838017847E-6</v>
      </c>
      <c r="H854" s="370">
        <f t="shared" si="40"/>
        <v>1.6337626820313244E-5</v>
      </c>
      <c r="I854" s="331">
        <v>0</v>
      </c>
      <c r="J854" s="331">
        <v>123008</v>
      </c>
      <c r="K854" s="331">
        <f t="shared" si="41"/>
        <v>-123008</v>
      </c>
      <c r="L854" s="199">
        <v>1.61</v>
      </c>
      <c r="M854" s="199">
        <v>1.57</v>
      </c>
    </row>
    <row r="855" spans="1:13" ht="15" customHeight="1" x14ac:dyDescent="0.25">
      <c r="A855" s="49">
        <v>2005</v>
      </c>
      <c r="B855" s="330" t="s">
        <v>25</v>
      </c>
      <c r="C855" s="331">
        <v>83990935435</v>
      </c>
      <c r="D855" s="331">
        <v>40386549486</v>
      </c>
      <c r="E855" s="331">
        <v>758154613</v>
      </c>
      <c r="F855" s="331">
        <v>593200</v>
      </c>
      <c r="G855" s="370">
        <f t="shared" si="39"/>
        <v>7.0626669048003796E-6</v>
      </c>
      <c r="H855" s="370">
        <f t="shared" si="40"/>
        <v>1.4688058463762368E-5</v>
      </c>
      <c r="I855" s="331">
        <v>136091</v>
      </c>
      <c r="J855" s="331">
        <v>0</v>
      </c>
      <c r="K855" s="331">
        <f t="shared" si="41"/>
        <v>136091</v>
      </c>
      <c r="L855" s="199">
        <v>1.88</v>
      </c>
      <c r="M855" s="199">
        <v>1.57</v>
      </c>
    </row>
    <row r="856" spans="1:13" ht="15" customHeight="1" x14ac:dyDescent="0.25">
      <c r="A856" s="49">
        <v>2006</v>
      </c>
      <c r="B856" s="330" t="s">
        <v>25</v>
      </c>
      <c r="C856" s="331">
        <v>87474311610</v>
      </c>
      <c r="D856" s="331">
        <v>42211412000</v>
      </c>
      <c r="E856" s="331">
        <v>760948631</v>
      </c>
      <c r="F856" s="331">
        <v>622337</v>
      </c>
      <c r="G856" s="370">
        <f t="shared" si="39"/>
        <v>7.1145115468259931E-6</v>
      </c>
      <c r="H856" s="370">
        <f t="shared" si="40"/>
        <v>1.4743335285727944E-5</v>
      </c>
      <c r="I856" s="331">
        <v>396108</v>
      </c>
      <c r="J856" s="331">
        <v>0</v>
      </c>
      <c r="K856" s="331">
        <f t="shared" si="41"/>
        <v>396108</v>
      </c>
      <c r="L856" s="199">
        <v>1.8</v>
      </c>
      <c r="M856" s="199">
        <v>1.57</v>
      </c>
    </row>
    <row r="857" spans="1:13" ht="15" customHeight="1" x14ac:dyDescent="0.25">
      <c r="A857" s="49">
        <v>2007</v>
      </c>
      <c r="B857" s="330" t="s">
        <v>25</v>
      </c>
      <c r="C857" s="331">
        <v>92664765143</v>
      </c>
      <c r="D857" s="331">
        <v>42857084094</v>
      </c>
      <c r="E857" s="331">
        <v>717984226</v>
      </c>
      <c r="F857" s="331">
        <v>701385</v>
      </c>
      <c r="G857" s="370">
        <f t="shared" si="39"/>
        <v>7.5690581950714999E-6</v>
      </c>
      <c r="H857" s="370">
        <f t="shared" si="40"/>
        <v>1.6365672439628109E-5</v>
      </c>
      <c r="I857" s="331">
        <v>545587</v>
      </c>
      <c r="J857" s="331">
        <v>0</v>
      </c>
      <c r="K857" s="331">
        <f t="shared" si="41"/>
        <v>545587</v>
      </c>
      <c r="L857" s="199">
        <v>1.68</v>
      </c>
      <c r="M857" s="199">
        <v>1.57</v>
      </c>
    </row>
    <row r="858" spans="1:13" ht="15" customHeight="1" x14ac:dyDescent="0.25">
      <c r="A858" s="49">
        <v>2008</v>
      </c>
      <c r="B858" s="330" t="s">
        <v>25</v>
      </c>
      <c r="C858" s="331">
        <v>94597614042</v>
      </c>
      <c r="D858" s="331">
        <v>43865549650</v>
      </c>
      <c r="E858" s="331">
        <v>687750286</v>
      </c>
      <c r="F858" s="331">
        <v>835866</v>
      </c>
      <c r="G858" s="370">
        <f t="shared" si="39"/>
        <v>8.8360156697914953E-6</v>
      </c>
      <c r="H858" s="370">
        <f t="shared" si="40"/>
        <v>1.9055181267972552E-5</v>
      </c>
      <c r="I858" s="331">
        <v>508445</v>
      </c>
      <c r="J858" s="331">
        <v>0</v>
      </c>
      <c r="K858" s="331">
        <f t="shared" si="41"/>
        <v>508445</v>
      </c>
      <c r="L858" s="199">
        <v>1.6</v>
      </c>
      <c r="M858" s="199">
        <v>1.57</v>
      </c>
    </row>
    <row r="859" spans="1:13" ht="15" customHeight="1" x14ac:dyDescent="0.25">
      <c r="A859" s="49">
        <v>2009</v>
      </c>
      <c r="B859" s="330" t="s">
        <v>25</v>
      </c>
      <c r="C859" s="331">
        <v>87366981327</v>
      </c>
      <c r="D859" s="331">
        <v>42333227024</v>
      </c>
      <c r="E859" s="331">
        <v>628176970</v>
      </c>
      <c r="F859" s="331">
        <v>1601350</v>
      </c>
      <c r="G859" s="370">
        <f t="shared" si="39"/>
        <v>1.8329006859083465E-5</v>
      </c>
      <c r="H859" s="370">
        <f t="shared" si="40"/>
        <v>3.7827260347814869E-5</v>
      </c>
      <c r="I859" s="331">
        <v>9636</v>
      </c>
      <c r="J859" s="331">
        <v>281123</v>
      </c>
      <c r="K859" s="331">
        <f t="shared" si="41"/>
        <v>-271487</v>
      </c>
      <c r="L859" s="199">
        <v>1.5</v>
      </c>
      <c r="M859" s="199">
        <v>1.32</v>
      </c>
    </row>
    <row r="860" spans="1:13" ht="15" customHeight="1" x14ac:dyDescent="0.25">
      <c r="A860" s="49">
        <v>2010</v>
      </c>
      <c r="B860" s="330" t="s">
        <v>25</v>
      </c>
      <c r="C860" s="331">
        <v>89901393384</v>
      </c>
      <c r="D860" s="331">
        <v>43079841866</v>
      </c>
      <c r="E860" s="331">
        <v>808943321</v>
      </c>
      <c r="F860" s="331">
        <v>1123206</v>
      </c>
      <c r="G860" s="370">
        <f t="shared" si="39"/>
        <v>1.249375518800246E-5</v>
      </c>
      <c r="H860" s="370">
        <f t="shared" si="40"/>
        <v>2.6072658379149491E-5</v>
      </c>
      <c r="I860" s="331">
        <v>8882</v>
      </c>
      <c r="J860" s="331">
        <v>544704</v>
      </c>
      <c r="K860" s="331">
        <f t="shared" si="41"/>
        <v>-535822</v>
      </c>
      <c r="L860" s="199">
        <v>1.9</v>
      </c>
      <c r="M860" s="199">
        <v>1.39</v>
      </c>
    </row>
    <row r="861" spans="1:13" ht="15" customHeight="1" x14ac:dyDescent="0.25">
      <c r="A861" s="49">
        <v>2011</v>
      </c>
      <c r="B861" s="330" t="s">
        <v>25</v>
      </c>
      <c r="C861" s="331">
        <v>94303751265</v>
      </c>
      <c r="D861" s="331">
        <v>44499462083</v>
      </c>
      <c r="E861" s="331">
        <v>1042868089</v>
      </c>
      <c r="F861" s="331">
        <v>797923</v>
      </c>
      <c r="G861" s="370">
        <f t="shared" si="39"/>
        <v>8.4612010582461535E-6</v>
      </c>
      <c r="H861" s="370">
        <f t="shared" si="40"/>
        <v>1.793107068376964E-5</v>
      </c>
      <c r="I861" s="331">
        <v>8856</v>
      </c>
      <c r="J861" s="331">
        <v>181725</v>
      </c>
      <c r="K861" s="331">
        <f t="shared" si="41"/>
        <v>-172869</v>
      </c>
      <c r="L861" s="199">
        <v>2.2999999999999998</v>
      </c>
      <c r="M861" s="199">
        <v>1.39</v>
      </c>
    </row>
    <row r="862" spans="1:13" ht="15" customHeight="1" x14ac:dyDescent="0.25">
      <c r="A862" s="49">
        <v>2012</v>
      </c>
      <c r="B862" s="330" t="s">
        <v>25</v>
      </c>
      <c r="C862" s="331">
        <v>99318007655</v>
      </c>
      <c r="D862" s="331">
        <v>46543277004</v>
      </c>
      <c r="E862" s="331">
        <v>1150265150</v>
      </c>
      <c r="F862" s="331">
        <v>752211</v>
      </c>
      <c r="G862" s="370">
        <f t="shared" si="39"/>
        <v>7.5737624803444312E-6</v>
      </c>
      <c r="H862" s="370">
        <f t="shared" si="40"/>
        <v>1.6161539290311548E-5</v>
      </c>
      <c r="I862" s="331">
        <v>448266</v>
      </c>
      <c r="J862" s="331">
        <v>0</v>
      </c>
      <c r="K862" s="331">
        <f t="shared" si="41"/>
        <v>448266</v>
      </c>
      <c r="L862" s="199">
        <v>2.4700000000000002</v>
      </c>
      <c r="M862" s="199">
        <v>1.39</v>
      </c>
    </row>
    <row r="863" spans="1:13" ht="15" customHeight="1" x14ac:dyDescent="0.25">
      <c r="A863" s="49">
        <v>2013</v>
      </c>
      <c r="B863" s="330" t="s">
        <v>25</v>
      </c>
      <c r="C863" s="331">
        <v>102669763654</v>
      </c>
      <c r="D863" s="331">
        <v>49271085128</v>
      </c>
      <c r="E863" s="331">
        <v>1234254513</v>
      </c>
      <c r="F863" s="331">
        <v>742266</v>
      </c>
      <c r="G863" s="370">
        <f t="shared" si="39"/>
        <v>7.2296455507724488E-6</v>
      </c>
      <c r="H863" s="370">
        <f t="shared" si="40"/>
        <v>1.5064941193636949E-5</v>
      </c>
      <c r="I863" s="331">
        <v>1122384</v>
      </c>
      <c r="J863" s="331">
        <v>0</v>
      </c>
      <c r="K863" s="331">
        <f t="shared" si="41"/>
        <v>1122384</v>
      </c>
      <c r="L863" s="199">
        <v>2.5</v>
      </c>
      <c r="M863" s="199">
        <v>1.39</v>
      </c>
    </row>
    <row r="864" spans="1:13" ht="15" customHeight="1" x14ac:dyDescent="0.25">
      <c r="A864" s="49">
        <v>2014</v>
      </c>
      <c r="B864" s="330" t="s">
        <v>25</v>
      </c>
      <c r="C864" s="331">
        <v>107327830915</v>
      </c>
      <c r="D864" s="331">
        <v>50745382494</v>
      </c>
      <c r="E864" s="331">
        <v>962236816</v>
      </c>
      <c r="F864" s="331">
        <v>695210</v>
      </c>
      <c r="G864" s="370">
        <f t="shared" si="39"/>
        <v>6.4774438658932998E-6</v>
      </c>
      <c r="H864" s="370">
        <f t="shared" si="40"/>
        <v>1.3699965707859229E-5</v>
      </c>
      <c r="I864" s="331">
        <v>1463265</v>
      </c>
      <c r="J864" s="331">
        <v>0</v>
      </c>
      <c r="K864" s="331">
        <f t="shared" si="41"/>
        <v>1463265</v>
      </c>
      <c r="L864" s="333">
        <v>1.89620566189204</v>
      </c>
      <c r="M864" s="199">
        <v>1.39</v>
      </c>
    </row>
    <row r="865" spans="1:13" ht="15" customHeight="1" x14ac:dyDescent="0.25">
      <c r="A865" s="49">
        <v>2015</v>
      </c>
      <c r="B865" s="330" t="s">
        <v>25</v>
      </c>
      <c r="C865" s="334">
        <v>113443423000</v>
      </c>
      <c r="D865" s="334">
        <v>53997704000</v>
      </c>
      <c r="E865" s="334">
        <v>831680000</v>
      </c>
      <c r="F865" s="331">
        <v>665030</v>
      </c>
      <c r="G865" s="370">
        <f t="shared" si="39"/>
        <v>5.8622173274866715E-6</v>
      </c>
      <c r="H865" s="370">
        <f t="shared" si="40"/>
        <v>1.23158940239385E-5</v>
      </c>
      <c r="I865" s="331">
        <v>1664584</v>
      </c>
      <c r="J865" s="199">
        <v>0</v>
      </c>
      <c r="K865" s="331">
        <f t="shared" si="41"/>
        <v>1664584</v>
      </c>
      <c r="L865" s="199">
        <v>1.5</v>
      </c>
      <c r="M865" s="199">
        <v>1.39</v>
      </c>
    </row>
    <row r="866" spans="1:13" ht="15" customHeight="1" x14ac:dyDescent="0.25">
      <c r="A866" s="49">
        <v>1980</v>
      </c>
      <c r="B866" s="330" t="s">
        <v>26</v>
      </c>
      <c r="C866" s="331">
        <v>21221108106</v>
      </c>
      <c r="D866" s="331">
        <v>9110858997</v>
      </c>
      <c r="E866" s="331">
        <v>91694336</v>
      </c>
      <c r="F866" s="331">
        <v>278426</v>
      </c>
      <c r="G866" s="370">
        <f t="shared" si="39"/>
        <v>1.3120238519555847E-5</v>
      </c>
      <c r="H866" s="370">
        <f t="shared" si="40"/>
        <v>3.0559796841514E-5</v>
      </c>
      <c r="I866" s="331">
        <v>125698</v>
      </c>
      <c r="J866" s="331">
        <v>0</v>
      </c>
      <c r="K866" s="331">
        <f t="shared" si="41"/>
        <v>125698</v>
      </c>
      <c r="L866" s="199">
        <v>1.01</v>
      </c>
      <c r="M866" s="199">
        <v>1.53</v>
      </c>
    </row>
    <row r="867" spans="1:13" ht="15" customHeight="1" x14ac:dyDescent="0.25">
      <c r="A867" s="49">
        <v>1981</v>
      </c>
      <c r="B867" s="330" t="s">
        <v>26</v>
      </c>
      <c r="C867" s="331">
        <v>22850179793</v>
      </c>
      <c r="D867" s="331">
        <v>9181468843</v>
      </c>
      <c r="E867" s="331">
        <v>145768638</v>
      </c>
      <c r="F867" s="331">
        <v>253067</v>
      </c>
      <c r="G867" s="370">
        <f t="shared" si="39"/>
        <v>1.1075055088954941E-5</v>
      </c>
      <c r="H867" s="370">
        <f t="shared" si="40"/>
        <v>2.7562801151684962E-5</v>
      </c>
      <c r="I867" s="331">
        <v>1188</v>
      </c>
      <c r="J867" s="331">
        <v>0</v>
      </c>
      <c r="K867" s="331">
        <f t="shared" si="41"/>
        <v>1188</v>
      </c>
      <c r="L867" s="199">
        <v>1.59</v>
      </c>
      <c r="M867" s="199">
        <v>1.53</v>
      </c>
    </row>
    <row r="868" spans="1:13" ht="15" customHeight="1" x14ac:dyDescent="0.25">
      <c r="A868" s="49">
        <v>1982</v>
      </c>
      <c r="B868" s="330" t="s">
        <v>26</v>
      </c>
      <c r="C868" s="331">
        <v>23694805462</v>
      </c>
      <c r="D868" s="331">
        <v>9554708994</v>
      </c>
      <c r="E868" s="331">
        <v>279776922</v>
      </c>
      <c r="F868" s="331">
        <v>301768</v>
      </c>
      <c r="G868" s="370">
        <f t="shared" si="39"/>
        <v>1.2735618382010078E-5</v>
      </c>
      <c r="H868" s="370">
        <f t="shared" si="40"/>
        <v>3.1583170161383145E-5</v>
      </c>
      <c r="I868" s="331">
        <v>25518</v>
      </c>
      <c r="J868" s="331">
        <v>89825</v>
      </c>
      <c r="K868" s="331">
        <f t="shared" si="41"/>
        <v>-64307</v>
      </c>
      <c r="L868" s="199">
        <v>2.93</v>
      </c>
      <c r="M868" s="199">
        <v>1.56</v>
      </c>
    </row>
    <row r="869" spans="1:13" ht="15" customHeight="1" x14ac:dyDescent="0.25">
      <c r="A869" s="49">
        <v>1983</v>
      </c>
      <c r="B869" s="330" t="s">
        <v>26</v>
      </c>
      <c r="C869" s="331">
        <v>25068628202</v>
      </c>
      <c r="D869" s="331">
        <v>10141596055</v>
      </c>
      <c r="E869" s="331">
        <v>279905426</v>
      </c>
      <c r="F869" s="331">
        <v>242747</v>
      </c>
      <c r="G869" s="370">
        <f t="shared" si="39"/>
        <v>9.6832981064609424E-6</v>
      </c>
      <c r="H869" s="370">
        <f t="shared" si="40"/>
        <v>2.3935778814649308E-5</v>
      </c>
      <c r="I869" s="331">
        <v>55754</v>
      </c>
      <c r="J869" s="331">
        <v>89825</v>
      </c>
      <c r="K869" s="331">
        <f t="shared" si="41"/>
        <v>-34071</v>
      </c>
      <c r="L869" s="199">
        <v>2.76</v>
      </c>
      <c r="M869" s="199">
        <v>1.56</v>
      </c>
    </row>
    <row r="870" spans="1:13" ht="15" customHeight="1" x14ac:dyDescent="0.25">
      <c r="A870" s="49">
        <v>1984</v>
      </c>
      <c r="B870" s="330" t="s">
        <v>26</v>
      </c>
      <c r="C870" s="331">
        <v>27865114388</v>
      </c>
      <c r="D870" s="331">
        <v>10889301397</v>
      </c>
      <c r="E870" s="331">
        <v>287132031</v>
      </c>
      <c r="F870" s="331">
        <v>165356</v>
      </c>
      <c r="G870" s="370">
        <f t="shared" si="39"/>
        <v>5.9341583062443809E-6</v>
      </c>
      <c r="H870" s="370">
        <f t="shared" si="40"/>
        <v>1.5185179835830014E-5</v>
      </c>
      <c r="I870" s="331">
        <v>93700</v>
      </c>
      <c r="J870" s="331">
        <v>0</v>
      </c>
      <c r="K870" s="331">
        <f t="shared" si="41"/>
        <v>93700</v>
      </c>
      <c r="L870" s="199">
        <v>2.64</v>
      </c>
      <c r="M870" s="199">
        <v>1.56</v>
      </c>
    </row>
    <row r="871" spans="1:13" ht="15" customHeight="1" x14ac:dyDescent="0.25">
      <c r="A871" s="49">
        <v>1985</v>
      </c>
      <c r="B871" s="330" t="s">
        <v>26</v>
      </c>
      <c r="C871" s="331">
        <v>29955425800</v>
      </c>
      <c r="D871" s="331">
        <v>12426242185</v>
      </c>
      <c r="E871" s="331">
        <v>303692371</v>
      </c>
      <c r="F871" s="331">
        <v>190613</v>
      </c>
      <c r="G871" s="370">
        <f t="shared" si="39"/>
        <v>6.3632211831220242E-6</v>
      </c>
      <c r="H871" s="370">
        <f t="shared" si="40"/>
        <v>1.5339552952709493E-5</v>
      </c>
      <c r="I871" s="331">
        <v>224585</v>
      </c>
      <c r="J871" s="331">
        <v>0</v>
      </c>
      <c r="K871" s="331">
        <f t="shared" si="41"/>
        <v>224585</v>
      </c>
      <c r="L871" s="199">
        <v>2.44</v>
      </c>
      <c r="M871" s="199">
        <v>1.56</v>
      </c>
    </row>
    <row r="872" spans="1:13" ht="15" customHeight="1" x14ac:dyDescent="0.25">
      <c r="A872" s="49">
        <v>1986</v>
      </c>
      <c r="B872" s="330" t="s">
        <v>26</v>
      </c>
      <c r="C872" s="331">
        <v>31673078789</v>
      </c>
      <c r="D872" s="331">
        <v>12867214108</v>
      </c>
      <c r="E872" s="331">
        <v>294645044</v>
      </c>
      <c r="F872" s="331">
        <v>221226</v>
      </c>
      <c r="G872" s="370">
        <f t="shared" si="39"/>
        <v>6.9846698981733149E-6</v>
      </c>
      <c r="H872" s="370">
        <f t="shared" si="40"/>
        <v>1.7192999055052331E-5</v>
      </c>
      <c r="I872" s="331">
        <v>330100</v>
      </c>
      <c r="J872" s="331">
        <v>0</v>
      </c>
      <c r="K872" s="331">
        <f t="shared" si="41"/>
        <v>330100</v>
      </c>
      <c r="L872" s="199">
        <v>2.29</v>
      </c>
      <c r="M872" s="199">
        <v>1.56</v>
      </c>
    </row>
    <row r="873" spans="1:13" ht="15" customHeight="1" x14ac:dyDescent="0.25">
      <c r="A873" s="49">
        <v>1987</v>
      </c>
      <c r="B873" s="330" t="s">
        <v>26</v>
      </c>
      <c r="C873" s="331">
        <v>33563088653</v>
      </c>
      <c r="D873" s="331">
        <v>12682009382</v>
      </c>
      <c r="E873" s="331">
        <v>215789964</v>
      </c>
      <c r="F873" s="331">
        <v>224119</v>
      </c>
      <c r="G873" s="370">
        <f t="shared" si="39"/>
        <v>6.6775439625687539E-6</v>
      </c>
      <c r="H873" s="370">
        <f t="shared" si="40"/>
        <v>1.7672199511072715E-5</v>
      </c>
      <c r="I873" s="331">
        <v>365983</v>
      </c>
      <c r="J873" s="331">
        <v>0</v>
      </c>
      <c r="K873" s="331">
        <f t="shared" si="41"/>
        <v>365983</v>
      </c>
      <c r="L873" s="199">
        <v>1.7</v>
      </c>
      <c r="M873" s="199">
        <v>1.56</v>
      </c>
    </row>
    <row r="874" spans="1:13" ht="15" customHeight="1" x14ac:dyDescent="0.25">
      <c r="A874" s="49">
        <v>1988</v>
      </c>
      <c r="B874" s="330" t="s">
        <v>26</v>
      </c>
      <c r="C874" s="331">
        <v>35682025755</v>
      </c>
      <c r="D874" s="331">
        <v>12440222459</v>
      </c>
      <c r="E874" s="331">
        <v>205715138</v>
      </c>
      <c r="F874" s="331">
        <v>220060</v>
      </c>
      <c r="G874" s="370">
        <f t="shared" si="39"/>
        <v>6.1672507472242871E-6</v>
      </c>
      <c r="H874" s="370">
        <f t="shared" si="40"/>
        <v>1.7689394279343891E-5</v>
      </c>
      <c r="I874" s="331">
        <v>386954</v>
      </c>
      <c r="J874" s="331">
        <v>0</v>
      </c>
      <c r="K874" s="331">
        <f t="shared" si="41"/>
        <v>386954</v>
      </c>
      <c r="L874" s="199">
        <v>1.65</v>
      </c>
      <c r="M874" s="199">
        <v>1.56</v>
      </c>
    </row>
    <row r="875" spans="1:13" ht="15" customHeight="1" x14ac:dyDescent="0.25">
      <c r="A875" s="49">
        <v>1989</v>
      </c>
      <c r="B875" s="330" t="s">
        <v>26</v>
      </c>
      <c r="C875" s="331">
        <v>37502520939</v>
      </c>
      <c r="D875" s="331">
        <v>12766948279</v>
      </c>
      <c r="E875" s="331">
        <v>190022821</v>
      </c>
      <c r="F875" s="331">
        <v>242915</v>
      </c>
      <c r="G875" s="370">
        <f t="shared" si="39"/>
        <v>6.4772978967231338E-6</v>
      </c>
      <c r="H875" s="370">
        <f t="shared" si="40"/>
        <v>1.9026864892964607E-5</v>
      </c>
      <c r="I875" s="331">
        <v>371934</v>
      </c>
      <c r="J875" s="331">
        <v>0</v>
      </c>
      <c r="K875" s="331">
        <f t="shared" si="41"/>
        <v>371934</v>
      </c>
      <c r="L875" s="199">
        <v>1.49</v>
      </c>
      <c r="M875" s="199">
        <v>1.56</v>
      </c>
    </row>
    <row r="876" spans="1:13" x14ac:dyDescent="0.25">
      <c r="A876" s="49">
        <v>1990</v>
      </c>
      <c r="B876" s="330" t="s">
        <v>26</v>
      </c>
      <c r="C876" s="331">
        <v>39025376692</v>
      </c>
      <c r="D876" s="331">
        <v>12947881022</v>
      </c>
      <c r="E876" s="331">
        <v>188424955</v>
      </c>
      <c r="F876" s="331">
        <v>289305</v>
      </c>
      <c r="G876" s="370">
        <f t="shared" si="39"/>
        <v>7.4132532347677771E-6</v>
      </c>
      <c r="H876" s="370">
        <f t="shared" si="40"/>
        <v>2.2343810505242995E-5</v>
      </c>
      <c r="I876" s="331">
        <v>298573</v>
      </c>
      <c r="J876" s="331">
        <v>0</v>
      </c>
      <c r="K876" s="331">
        <f t="shared" si="41"/>
        <v>298573</v>
      </c>
      <c r="L876" s="199">
        <v>1.46</v>
      </c>
      <c r="M876" s="199">
        <v>1.56</v>
      </c>
    </row>
    <row r="877" spans="1:13" ht="15" customHeight="1" x14ac:dyDescent="0.25">
      <c r="A877" s="49">
        <v>1991</v>
      </c>
      <c r="B877" s="330" t="s">
        <v>26</v>
      </c>
      <c r="C877" s="331">
        <v>39491482378</v>
      </c>
      <c r="D877" s="331">
        <v>12752772589</v>
      </c>
      <c r="E877" s="331">
        <v>199807940</v>
      </c>
      <c r="F877" s="331">
        <v>396898</v>
      </c>
      <c r="G877" s="370">
        <f t="shared" si="39"/>
        <v>1.0050217821681589E-5</v>
      </c>
      <c r="H877" s="370">
        <f t="shared" si="40"/>
        <v>3.1122487069388136E-5</v>
      </c>
      <c r="I877" s="331">
        <v>119473</v>
      </c>
      <c r="J877" s="331">
        <v>0</v>
      </c>
      <c r="K877" s="331">
        <f t="shared" si="41"/>
        <v>119473</v>
      </c>
      <c r="L877" s="199">
        <v>1.57</v>
      </c>
      <c r="M877" s="199">
        <v>1.56</v>
      </c>
    </row>
    <row r="878" spans="1:13" ht="15" customHeight="1" x14ac:dyDescent="0.25">
      <c r="A878" s="49">
        <v>1992</v>
      </c>
      <c r="B878" s="330" t="s">
        <v>26</v>
      </c>
      <c r="C878" s="331">
        <v>41731811183</v>
      </c>
      <c r="D878" s="331">
        <v>12949492252</v>
      </c>
      <c r="E878" s="331">
        <v>259528053</v>
      </c>
      <c r="F878" s="331">
        <v>371986</v>
      </c>
      <c r="G878" s="370">
        <f t="shared" si="39"/>
        <v>8.9137276685353493E-6</v>
      </c>
      <c r="H878" s="370">
        <f t="shared" si="40"/>
        <v>2.8725913940181568E-5</v>
      </c>
      <c r="I878" s="331">
        <v>3101</v>
      </c>
      <c r="J878" s="331">
        <v>0</v>
      </c>
      <c r="K878" s="331">
        <f t="shared" si="41"/>
        <v>3101</v>
      </c>
      <c r="L878" s="199">
        <v>2</v>
      </c>
      <c r="M878" s="199">
        <v>1.56</v>
      </c>
    </row>
    <row r="879" spans="1:13" ht="15" customHeight="1" x14ac:dyDescent="0.25">
      <c r="A879" s="49">
        <v>1993</v>
      </c>
      <c r="B879" s="330" t="s">
        <v>26</v>
      </c>
      <c r="C879" s="331">
        <v>43294989419</v>
      </c>
      <c r="D879" s="331">
        <v>14127301204</v>
      </c>
      <c r="E879" s="331">
        <v>315529160</v>
      </c>
      <c r="F879" s="331">
        <v>314639</v>
      </c>
      <c r="G879" s="370">
        <f t="shared" si="39"/>
        <v>7.2673305669390165E-6</v>
      </c>
      <c r="H879" s="370">
        <f t="shared" si="40"/>
        <v>2.2271698993075424E-5</v>
      </c>
      <c r="I879" s="331">
        <v>62251</v>
      </c>
      <c r="J879" s="331">
        <v>70000</v>
      </c>
      <c r="K879" s="331">
        <f t="shared" si="41"/>
        <v>-7749</v>
      </c>
      <c r="L879" s="199">
        <v>2.23</v>
      </c>
      <c r="M879" s="199">
        <v>1.56</v>
      </c>
    </row>
    <row r="880" spans="1:13" ht="15" customHeight="1" x14ac:dyDescent="0.25">
      <c r="A880" s="49">
        <v>1994</v>
      </c>
      <c r="B880" s="330" t="s">
        <v>26</v>
      </c>
      <c r="C880" s="331">
        <v>46264652599</v>
      </c>
      <c r="D880" s="331">
        <v>16276860044</v>
      </c>
      <c r="E880" s="331">
        <v>435077632</v>
      </c>
      <c r="F880" s="331">
        <v>302546</v>
      </c>
      <c r="G880" s="370">
        <f t="shared" si="39"/>
        <v>6.5394633484514578E-6</v>
      </c>
      <c r="H880" s="370">
        <f t="shared" si="40"/>
        <v>1.8587491640411626E-5</v>
      </c>
      <c r="I880" s="331">
        <v>118466</v>
      </c>
      <c r="J880" s="331">
        <v>0</v>
      </c>
      <c r="K880" s="331">
        <f t="shared" si="41"/>
        <v>118466</v>
      </c>
      <c r="L880" s="199">
        <v>2.67</v>
      </c>
      <c r="M880" s="199">
        <v>1.56</v>
      </c>
    </row>
    <row r="881" spans="1:13" ht="15" customHeight="1" x14ac:dyDescent="0.25">
      <c r="A881" s="49">
        <v>1995</v>
      </c>
      <c r="B881" s="330" t="s">
        <v>26</v>
      </c>
      <c r="C881" s="331">
        <v>49515236284</v>
      </c>
      <c r="D881" s="331">
        <v>17056253263</v>
      </c>
      <c r="E881" s="331">
        <v>346931624</v>
      </c>
      <c r="F881" s="331">
        <v>271915</v>
      </c>
      <c r="G881" s="370">
        <f t="shared" si="39"/>
        <v>5.4915420061898133E-6</v>
      </c>
      <c r="H881" s="370">
        <f t="shared" si="40"/>
        <v>1.5942246858509255E-5</v>
      </c>
      <c r="I881" s="331">
        <v>196933</v>
      </c>
      <c r="J881" s="331">
        <v>0</v>
      </c>
      <c r="K881" s="331">
        <f t="shared" si="41"/>
        <v>196933</v>
      </c>
      <c r="L881" s="199">
        <v>2.0299999999999998</v>
      </c>
      <c r="M881" s="199">
        <v>1.31</v>
      </c>
    </row>
    <row r="882" spans="1:13" ht="15" customHeight="1" x14ac:dyDescent="0.25">
      <c r="A882" s="49">
        <v>1996</v>
      </c>
      <c r="B882" s="330" t="s">
        <v>26</v>
      </c>
      <c r="C882" s="331">
        <v>52319128469</v>
      </c>
      <c r="D882" s="331">
        <v>17429619364</v>
      </c>
      <c r="E882" s="331">
        <v>346073450</v>
      </c>
      <c r="F882" s="331">
        <v>286691</v>
      </c>
      <c r="G882" s="370">
        <f t="shared" si="39"/>
        <v>5.4796593213487764E-6</v>
      </c>
      <c r="H882" s="370">
        <f t="shared" si="40"/>
        <v>1.6448494600642044E-5</v>
      </c>
      <c r="I882" s="331">
        <v>307507</v>
      </c>
      <c r="J882" s="331">
        <v>0</v>
      </c>
      <c r="K882" s="331">
        <f t="shared" si="41"/>
        <v>307507</v>
      </c>
      <c r="L882" s="199">
        <v>1.99</v>
      </c>
      <c r="M882" s="199">
        <v>1.3</v>
      </c>
    </row>
    <row r="883" spans="1:13" ht="15" customHeight="1" x14ac:dyDescent="0.25">
      <c r="A883" s="49">
        <v>1997</v>
      </c>
      <c r="B883" s="330" t="s">
        <v>26</v>
      </c>
      <c r="C883" s="331">
        <v>56301696994</v>
      </c>
      <c r="D883" s="331">
        <v>17503152067</v>
      </c>
      <c r="E883" s="331">
        <v>346242427</v>
      </c>
      <c r="F883" s="331">
        <v>261962</v>
      </c>
      <c r="G883" s="370">
        <f t="shared" si="39"/>
        <v>4.6528260067883381E-6</v>
      </c>
      <c r="H883" s="370">
        <f t="shared" si="40"/>
        <v>1.4966561394041507E-5</v>
      </c>
      <c r="I883" s="331">
        <v>417706</v>
      </c>
      <c r="J883" s="331">
        <v>0</v>
      </c>
      <c r="K883" s="331">
        <f t="shared" si="41"/>
        <v>417706</v>
      </c>
      <c r="L883" s="199">
        <v>1.98</v>
      </c>
      <c r="M883" s="199">
        <v>1.3</v>
      </c>
    </row>
    <row r="884" spans="1:13" ht="15" customHeight="1" x14ac:dyDescent="0.25">
      <c r="A884" s="49">
        <v>1998</v>
      </c>
      <c r="B884" s="330" t="s">
        <v>26</v>
      </c>
      <c r="C884" s="331">
        <v>59996235751</v>
      </c>
      <c r="D884" s="331">
        <v>18883000972</v>
      </c>
      <c r="E884" s="331">
        <v>327525449</v>
      </c>
      <c r="F884" s="331">
        <v>259913</v>
      </c>
      <c r="G884" s="370">
        <f t="shared" si="39"/>
        <v>4.3321551218430874E-6</v>
      </c>
      <c r="H884" s="370">
        <f t="shared" si="40"/>
        <v>1.3764390542869903E-5</v>
      </c>
      <c r="I884" s="331">
        <v>505954</v>
      </c>
      <c r="J884" s="331">
        <v>0</v>
      </c>
      <c r="K884" s="331">
        <f t="shared" si="41"/>
        <v>505954</v>
      </c>
      <c r="L884" s="199">
        <v>1.73</v>
      </c>
      <c r="M884" s="199">
        <v>1.3</v>
      </c>
    </row>
    <row r="885" spans="1:13" ht="15" customHeight="1" x14ac:dyDescent="0.25">
      <c r="A885" s="49">
        <v>1999</v>
      </c>
      <c r="B885" s="330" t="s">
        <v>26</v>
      </c>
      <c r="C885" s="331">
        <v>63241156041</v>
      </c>
      <c r="D885" s="331">
        <v>18616391082</v>
      </c>
      <c r="E885" s="331">
        <v>258483469</v>
      </c>
      <c r="F885" s="331">
        <v>277176</v>
      </c>
      <c r="G885" s="370">
        <f t="shared" si="39"/>
        <v>4.3828420818288567E-6</v>
      </c>
      <c r="H885" s="370">
        <f t="shared" si="40"/>
        <v>1.4888814850263791E-5</v>
      </c>
      <c r="I885" s="331">
        <v>525243</v>
      </c>
      <c r="J885" s="331">
        <v>0</v>
      </c>
      <c r="K885" s="331">
        <f t="shared" si="41"/>
        <v>525243</v>
      </c>
      <c r="L885" s="199">
        <v>1.39</v>
      </c>
      <c r="M885" s="199">
        <v>1.3</v>
      </c>
    </row>
    <row r="886" spans="1:13" ht="15" customHeight="1" x14ac:dyDescent="0.25">
      <c r="A886" s="49">
        <v>2000</v>
      </c>
      <c r="B886" s="330" t="s">
        <v>26</v>
      </c>
      <c r="C886" s="331">
        <v>66963143328</v>
      </c>
      <c r="D886" s="331">
        <v>18215005315</v>
      </c>
      <c r="E886" s="331">
        <v>229572852</v>
      </c>
      <c r="F886" s="331">
        <v>313857</v>
      </c>
      <c r="G886" s="370">
        <f t="shared" si="39"/>
        <v>4.6870111587005456E-6</v>
      </c>
      <c r="H886" s="370">
        <f t="shared" si="40"/>
        <v>1.7230683964804541E-5</v>
      </c>
      <c r="I886" s="331">
        <v>484904</v>
      </c>
      <c r="J886" s="331">
        <v>0</v>
      </c>
      <c r="K886" s="331">
        <f t="shared" si="41"/>
        <v>484904</v>
      </c>
      <c r="L886" s="199">
        <v>1.26</v>
      </c>
      <c r="M886" s="199">
        <v>1.3</v>
      </c>
    </row>
    <row r="887" spans="1:13" ht="15" customHeight="1" x14ac:dyDescent="0.25">
      <c r="A887" s="49">
        <v>2001</v>
      </c>
      <c r="B887" s="330" t="s">
        <v>26</v>
      </c>
      <c r="C887" s="331">
        <v>68065963582</v>
      </c>
      <c r="D887" s="331">
        <v>16962577872</v>
      </c>
      <c r="E887" s="331">
        <v>233082414</v>
      </c>
      <c r="F887" s="331">
        <v>470749</v>
      </c>
      <c r="G887" s="370">
        <f t="shared" si="39"/>
        <v>6.9160704591051916E-6</v>
      </c>
      <c r="H887" s="370">
        <f t="shared" si="40"/>
        <v>2.7752208629624737E-5</v>
      </c>
      <c r="I887" s="331">
        <v>276308</v>
      </c>
      <c r="J887" s="331">
        <v>0</v>
      </c>
      <c r="K887" s="331">
        <f t="shared" si="41"/>
        <v>276308</v>
      </c>
      <c r="L887" s="199">
        <v>1.37</v>
      </c>
      <c r="M887" s="199">
        <v>1.17</v>
      </c>
    </row>
    <row r="888" spans="1:13" ht="15" customHeight="1" x14ac:dyDescent="0.25">
      <c r="A888" s="49">
        <v>2002</v>
      </c>
      <c r="B888" s="330" t="s">
        <v>26</v>
      </c>
      <c r="C888" s="331">
        <v>68331403901</v>
      </c>
      <c r="D888" s="331">
        <v>16578238726</v>
      </c>
      <c r="E888" s="331">
        <v>250548727</v>
      </c>
      <c r="F888" s="331">
        <v>564205</v>
      </c>
      <c r="G888" s="370">
        <f t="shared" si="39"/>
        <v>8.256891674835663E-6</v>
      </c>
      <c r="H888" s="370">
        <f t="shared" si="40"/>
        <v>3.4032867382657814E-5</v>
      </c>
      <c r="I888" s="331">
        <v>137442</v>
      </c>
      <c r="J888" s="331">
        <v>0</v>
      </c>
      <c r="K888" s="331">
        <f t="shared" si="41"/>
        <v>137442</v>
      </c>
      <c r="L888" s="199">
        <v>1.51</v>
      </c>
      <c r="M888" s="199">
        <v>1.17</v>
      </c>
    </row>
    <row r="889" spans="1:13" ht="15" customHeight="1" x14ac:dyDescent="0.25">
      <c r="A889" s="49">
        <v>2003</v>
      </c>
      <c r="B889" s="330" t="s">
        <v>26</v>
      </c>
      <c r="C889" s="331">
        <v>69215586196</v>
      </c>
      <c r="D889" s="331">
        <v>17296399057</v>
      </c>
      <c r="E889" s="331">
        <v>325630206</v>
      </c>
      <c r="F889" s="331">
        <v>591919</v>
      </c>
      <c r="G889" s="370">
        <f t="shared" si="39"/>
        <v>8.5518166143077079E-6</v>
      </c>
      <c r="H889" s="370">
        <f t="shared" si="40"/>
        <v>3.422209432433541E-5</v>
      </c>
      <c r="I889" s="331">
        <v>3694</v>
      </c>
      <c r="J889" s="331">
        <v>142924</v>
      </c>
      <c r="K889" s="331">
        <f t="shared" si="41"/>
        <v>-139230</v>
      </c>
      <c r="L889" s="199">
        <v>1.88</v>
      </c>
      <c r="M889" s="199">
        <v>1.17</v>
      </c>
    </row>
    <row r="890" spans="1:13" ht="15" customHeight="1" x14ac:dyDescent="0.25">
      <c r="A890" s="49">
        <v>2004</v>
      </c>
      <c r="B890" s="330" t="s">
        <v>26</v>
      </c>
      <c r="C890" s="331">
        <v>71746038335</v>
      </c>
      <c r="D890" s="331">
        <v>18454170919</v>
      </c>
      <c r="E890" s="331">
        <v>363625632</v>
      </c>
      <c r="F890" s="331">
        <v>497995</v>
      </c>
      <c r="G890" s="370">
        <f t="shared" si="39"/>
        <v>6.9410801147617122E-6</v>
      </c>
      <c r="H890" s="370">
        <f t="shared" si="40"/>
        <v>2.6985498410404098E-5</v>
      </c>
      <c r="I890" s="331">
        <v>18261</v>
      </c>
      <c r="J890" s="331">
        <v>288557</v>
      </c>
      <c r="K890" s="331">
        <f t="shared" si="41"/>
        <v>-270296</v>
      </c>
      <c r="L890" s="199">
        <v>1.97</v>
      </c>
      <c r="M890" s="199">
        <v>1.17</v>
      </c>
    </row>
    <row r="891" spans="1:13" ht="15" customHeight="1" x14ac:dyDescent="0.25">
      <c r="A891" s="49">
        <v>2005</v>
      </c>
      <c r="B891" s="330" t="s">
        <v>26</v>
      </c>
      <c r="C891" s="331">
        <v>75218582545</v>
      </c>
      <c r="D891" s="331">
        <v>23828475881</v>
      </c>
      <c r="E891" s="331">
        <v>494767308</v>
      </c>
      <c r="F891" s="331">
        <v>415191</v>
      </c>
      <c r="G891" s="370">
        <f t="shared" si="39"/>
        <v>5.519792928185124E-6</v>
      </c>
      <c r="H891" s="370">
        <f t="shared" si="40"/>
        <v>1.7424152601008732E-5</v>
      </c>
      <c r="I891" s="331">
        <v>46854</v>
      </c>
      <c r="J891" s="331">
        <v>238257</v>
      </c>
      <c r="K891" s="331">
        <f t="shared" si="41"/>
        <v>-191403</v>
      </c>
      <c r="L891" s="199">
        <v>2.08</v>
      </c>
      <c r="M891" s="199">
        <v>1.17</v>
      </c>
    </row>
    <row r="892" spans="1:13" ht="15" customHeight="1" x14ac:dyDescent="0.25">
      <c r="A892" s="49">
        <v>2006</v>
      </c>
      <c r="B892" s="330" t="s">
        <v>26</v>
      </c>
      <c r="C892" s="331">
        <v>78705168929</v>
      </c>
      <c r="D892" s="331">
        <v>24391126923</v>
      </c>
      <c r="E892" s="331">
        <v>534579679</v>
      </c>
      <c r="F892" s="331">
        <v>385609</v>
      </c>
      <c r="G892" s="370">
        <f t="shared" si="39"/>
        <v>4.8994113759905427E-6</v>
      </c>
      <c r="H892" s="370">
        <f t="shared" si="40"/>
        <v>1.5809396639086153E-5</v>
      </c>
      <c r="I892" s="331">
        <v>241788</v>
      </c>
      <c r="J892" s="331">
        <v>135457</v>
      </c>
      <c r="K892" s="331">
        <f t="shared" si="41"/>
        <v>106331</v>
      </c>
      <c r="L892" s="199">
        <v>2.19</v>
      </c>
      <c r="M892" s="199">
        <v>1.17</v>
      </c>
    </row>
    <row r="893" spans="1:13" ht="15" customHeight="1" x14ac:dyDescent="0.25">
      <c r="A893" s="49">
        <v>2007</v>
      </c>
      <c r="B893" s="330" t="s">
        <v>26</v>
      </c>
      <c r="C893" s="331">
        <v>82260518998</v>
      </c>
      <c r="D893" s="331">
        <v>24832549552</v>
      </c>
      <c r="E893" s="331">
        <v>548678944</v>
      </c>
      <c r="F893" s="331">
        <v>413759</v>
      </c>
      <c r="G893" s="370">
        <f t="shared" si="39"/>
        <v>5.0298612875279783E-6</v>
      </c>
      <c r="H893" s="370">
        <f t="shared" si="40"/>
        <v>1.6661962120867936E-5</v>
      </c>
      <c r="I893" s="331">
        <v>113246</v>
      </c>
      <c r="J893" s="331">
        <v>0</v>
      </c>
      <c r="K893" s="331">
        <f t="shared" si="41"/>
        <v>113246</v>
      </c>
      <c r="L893" s="199">
        <v>2.21</v>
      </c>
      <c r="M893" s="199">
        <v>1.17</v>
      </c>
    </row>
    <row r="894" spans="1:13" ht="15" customHeight="1" x14ac:dyDescent="0.25">
      <c r="A894" s="49">
        <v>2008</v>
      </c>
      <c r="B894" s="330" t="s">
        <v>26</v>
      </c>
      <c r="C894" s="331">
        <v>85473548136</v>
      </c>
      <c r="D894" s="331">
        <v>26418006809</v>
      </c>
      <c r="E894" s="331">
        <v>578640131</v>
      </c>
      <c r="F894" s="331">
        <v>569002</v>
      </c>
      <c r="G894" s="370">
        <f t="shared" si="39"/>
        <v>6.6570537015105617E-6</v>
      </c>
      <c r="H894" s="370">
        <f t="shared" si="40"/>
        <v>2.153841522238363E-5</v>
      </c>
      <c r="I894" s="331">
        <v>118483</v>
      </c>
      <c r="J894" s="331">
        <v>0</v>
      </c>
      <c r="K894" s="331">
        <f t="shared" si="41"/>
        <v>118483</v>
      </c>
      <c r="L894" s="199">
        <v>2.2000000000000002</v>
      </c>
      <c r="M894" s="199">
        <v>1.17</v>
      </c>
    </row>
    <row r="895" spans="1:13" ht="15" customHeight="1" x14ac:dyDescent="0.25">
      <c r="A895" s="49">
        <v>2009</v>
      </c>
      <c r="B895" s="330" t="s">
        <v>26</v>
      </c>
      <c r="C895" s="331">
        <v>79327001604</v>
      </c>
      <c r="D895" s="331">
        <v>25373443772</v>
      </c>
      <c r="E895" s="331">
        <v>510104784</v>
      </c>
      <c r="F895" s="331">
        <v>1098391</v>
      </c>
      <c r="G895" s="370">
        <f t="shared" si="39"/>
        <v>1.3846369808393395E-5</v>
      </c>
      <c r="H895" s="370">
        <f t="shared" si="40"/>
        <v>4.3288999706539322E-5</v>
      </c>
      <c r="I895" s="331">
        <v>13878</v>
      </c>
      <c r="J895" s="331">
        <v>474345</v>
      </c>
      <c r="K895" s="331">
        <f t="shared" si="41"/>
        <v>-460467</v>
      </c>
      <c r="L895" s="199">
        <v>2</v>
      </c>
      <c r="M895" s="199">
        <v>1.0900000000000001</v>
      </c>
    </row>
    <row r="896" spans="1:13" ht="15" customHeight="1" x14ac:dyDescent="0.25">
      <c r="A896" s="49">
        <v>2010</v>
      </c>
      <c r="B896" s="330" t="s">
        <v>26</v>
      </c>
      <c r="C896" s="331">
        <v>79479861650</v>
      </c>
      <c r="D896" s="331">
        <v>25887384826</v>
      </c>
      <c r="E896" s="331">
        <v>550399158</v>
      </c>
      <c r="F896" s="331">
        <v>792933</v>
      </c>
      <c r="G896" s="370">
        <f t="shared" si="39"/>
        <v>9.9765271798255578E-6</v>
      </c>
      <c r="H896" s="370">
        <f t="shared" si="40"/>
        <v>3.0630092816622311E-5</v>
      </c>
      <c r="I896" s="331">
        <v>18537</v>
      </c>
      <c r="J896" s="331">
        <v>722117</v>
      </c>
      <c r="K896" s="331">
        <f t="shared" si="41"/>
        <v>-703580</v>
      </c>
      <c r="L896" s="199">
        <v>2.1</v>
      </c>
      <c r="M896" s="199">
        <v>1.1299999999999999</v>
      </c>
    </row>
    <row r="897" spans="1:13" ht="15" customHeight="1" x14ac:dyDescent="0.25">
      <c r="A897" s="49">
        <v>2011</v>
      </c>
      <c r="B897" s="330" t="s">
        <v>26</v>
      </c>
      <c r="C897" s="331">
        <v>81613057306</v>
      </c>
      <c r="D897" s="331">
        <v>26197564692</v>
      </c>
      <c r="E897" s="331">
        <v>616102704</v>
      </c>
      <c r="F897" s="331">
        <v>631880</v>
      </c>
      <c r="G897" s="370">
        <f t="shared" si="39"/>
        <v>7.7423885448970398E-6</v>
      </c>
      <c r="H897" s="370">
        <f t="shared" si="40"/>
        <v>2.4119799203815246E-5</v>
      </c>
      <c r="I897" s="331">
        <v>13479</v>
      </c>
      <c r="J897" s="331">
        <v>725573</v>
      </c>
      <c r="K897" s="331">
        <f t="shared" si="41"/>
        <v>-712094</v>
      </c>
      <c r="L897" s="199">
        <v>2.4</v>
      </c>
      <c r="M897" s="199">
        <v>1.1299999999999999</v>
      </c>
    </row>
    <row r="898" spans="1:13" ht="15" customHeight="1" x14ac:dyDescent="0.25">
      <c r="A898" s="49">
        <v>2012</v>
      </c>
      <c r="B898" s="330" t="s">
        <v>26</v>
      </c>
      <c r="C898" s="331">
        <v>85521441943</v>
      </c>
      <c r="D898" s="331">
        <v>26625988256</v>
      </c>
      <c r="E898" s="331">
        <v>631412754</v>
      </c>
      <c r="F898" s="331">
        <v>488962</v>
      </c>
      <c r="G898" s="370">
        <f t="shared" ref="G898:G961" si="42">F898/C898</f>
        <v>5.7174199696713833E-6</v>
      </c>
      <c r="H898" s="370">
        <f t="shared" ref="H898:H961" si="43">F898/D898</f>
        <v>1.8364088322235907E-5</v>
      </c>
      <c r="I898" s="331">
        <v>37423</v>
      </c>
      <c r="J898" s="331">
        <v>569175</v>
      </c>
      <c r="K898" s="331">
        <f t="shared" ref="K898:K961" si="44">I898-J898</f>
        <v>-531752</v>
      </c>
      <c r="L898" s="199">
        <v>2.37</v>
      </c>
      <c r="M898" s="199">
        <v>1.1299999999999999</v>
      </c>
    </row>
    <row r="899" spans="1:13" ht="15" customHeight="1" x14ac:dyDescent="0.25">
      <c r="A899" s="49">
        <v>2013</v>
      </c>
      <c r="B899" s="330" t="s">
        <v>26</v>
      </c>
      <c r="C899" s="331">
        <v>87107272903</v>
      </c>
      <c r="D899" s="331">
        <v>27124143587</v>
      </c>
      <c r="E899" s="331">
        <v>612843921</v>
      </c>
      <c r="F899" s="331">
        <v>442799</v>
      </c>
      <c r="G899" s="370">
        <f t="shared" si="42"/>
        <v>5.0833757646515632E-6</v>
      </c>
      <c r="H899" s="370">
        <f t="shared" si="43"/>
        <v>1.6324902520137955E-5</v>
      </c>
      <c r="I899" s="331">
        <v>66288</v>
      </c>
      <c r="J899" s="331">
        <v>321570</v>
      </c>
      <c r="K899" s="331">
        <f t="shared" si="44"/>
        <v>-255282</v>
      </c>
      <c r="L899" s="199">
        <v>2.2599999999999998</v>
      </c>
      <c r="M899" s="199">
        <v>1.1299999999999999</v>
      </c>
    </row>
    <row r="900" spans="1:13" ht="15" customHeight="1" x14ac:dyDescent="0.25">
      <c r="A900" s="49">
        <v>2014</v>
      </c>
      <c r="B900" s="330" t="s">
        <v>26</v>
      </c>
      <c r="C900" s="331">
        <v>90821637746</v>
      </c>
      <c r="D900" s="331">
        <v>27936553057</v>
      </c>
      <c r="E900" s="331">
        <v>600060973</v>
      </c>
      <c r="F900" s="331">
        <v>374133</v>
      </c>
      <c r="G900" s="370">
        <f t="shared" si="42"/>
        <v>4.1194258250036641E-6</v>
      </c>
      <c r="H900" s="370">
        <f t="shared" si="43"/>
        <v>1.3392239165534931E-5</v>
      </c>
      <c r="I900" s="331">
        <v>104870</v>
      </c>
      <c r="J900" s="331">
        <v>0</v>
      </c>
      <c r="K900" s="331">
        <f t="shared" si="44"/>
        <v>104870</v>
      </c>
      <c r="L900" s="333">
        <v>2.1479420591927463</v>
      </c>
      <c r="M900" s="199">
        <v>1.1299999999999999</v>
      </c>
    </row>
    <row r="901" spans="1:13" ht="15" customHeight="1" x14ac:dyDescent="0.25">
      <c r="A901" s="49">
        <v>2015</v>
      </c>
      <c r="B901" s="330" t="s">
        <v>26</v>
      </c>
      <c r="C901" s="334">
        <v>95423354000</v>
      </c>
      <c r="D901" s="334">
        <v>28881176000</v>
      </c>
      <c r="E901" s="334">
        <v>583512000</v>
      </c>
      <c r="F901" s="331">
        <v>316356</v>
      </c>
      <c r="G901" s="370">
        <f t="shared" si="42"/>
        <v>3.3152890433928785E-6</v>
      </c>
      <c r="H901" s="370">
        <f t="shared" si="43"/>
        <v>1.0953709087192294E-5</v>
      </c>
      <c r="I901" s="331">
        <v>377527</v>
      </c>
      <c r="J901" s="199">
        <v>0</v>
      </c>
      <c r="K901" s="331">
        <f t="shared" si="44"/>
        <v>377527</v>
      </c>
      <c r="L901" s="199">
        <v>2</v>
      </c>
      <c r="M901" s="199">
        <v>1.1399999999999999</v>
      </c>
    </row>
    <row r="902" spans="1:13" ht="15" customHeight="1" x14ac:dyDescent="0.25">
      <c r="A902" s="49">
        <v>1980</v>
      </c>
      <c r="B902" s="330" t="s">
        <v>27</v>
      </c>
      <c r="C902" s="331">
        <v>7105999315</v>
      </c>
      <c r="D902" s="331">
        <v>3768446780</v>
      </c>
      <c r="E902" s="331">
        <v>74112510</v>
      </c>
      <c r="F902" s="331">
        <v>85066</v>
      </c>
      <c r="G902" s="370">
        <f t="shared" si="42"/>
        <v>1.197101156770939E-5</v>
      </c>
      <c r="H902" s="370">
        <f t="shared" si="43"/>
        <v>2.2573225778711938E-5</v>
      </c>
      <c r="I902" s="331">
        <v>241653</v>
      </c>
      <c r="J902" s="331">
        <v>0</v>
      </c>
      <c r="K902" s="331">
        <f t="shared" si="44"/>
        <v>241653</v>
      </c>
      <c r="L902" s="199">
        <v>1.97</v>
      </c>
      <c r="M902" s="199">
        <v>1.55</v>
      </c>
    </row>
    <row r="903" spans="1:13" ht="15" customHeight="1" x14ac:dyDescent="0.25">
      <c r="A903" s="49">
        <v>1981</v>
      </c>
      <c r="B903" s="330" t="s">
        <v>27</v>
      </c>
      <c r="C903" s="331">
        <v>7818588591</v>
      </c>
      <c r="D903" s="331">
        <v>3881553983</v>
      </c>
      <c r="E903" s="331">
        <v>87364048</v>
      </c>
      <c r="F903" s="331">
        <v>80677</v>
      </c>
      <c r="G903" s="370">
        <f t="shared" si="42"/>
        <v>1.0318614294767669E-5</v>
      </c>
      <c r="H903" s="370">
        <f t="shared" si="43"/>
        <v>2.0784716727717865E-5</v>
      </c>
      <c r="I903" s="331">
        <v>266835</v>
      </c>
      <c r="J903" s="331">
        <v>0</v>
      </c>
      <c r="K903" s="331">
        <f t="shared" si="44"/>
        <v>266835</v>
      </c>
      <c r="L903" s="199">
        <v>2.25</v>
      </c>
      <c r="M903" s="199">
        <v>1.33</v>
      </c>
    </row>
    <row r="904" spans="1:13" ht="15" customHeight="1" x14ac:dyDescent="0.25">
      <c r="A904" s="49">
        <v>1982</v>
      </c>
      <c r="B904" s="330" t="s">
        <v>27</v>
      </c>
      <c r="C904" s="331">
        <v>8031639483</v>
      </c>
      <c r="D904" s="331">
        <v>3733437482</v>
      </c>
      <c r="E904" s="331">
        <v>109601246</v>
      </c>
      <c r="F904" s="331">
        <v>136146</v>
      </c>
      <c r="G904" s="370">
        <f t="shared" si="42"/>
        <v>1.6951209063625248E-5</v>
      </c>
      <c r="H904" s="370">
        <f t="shared" si="43"/>
        <v>3.646666126228172E-5</v>
      </c>
      <c r="I904" s="331">
        <v>257154</v>
      </c>
      <c r="J904" s="331">
        <v>0</v>
      </c>
      <c r="K904" s="331">
        <f t="shared" si="44"/>
        <v>257154</v>
      </c>
      <c r="L904" s="199">
        <v>2.94</v>
      </c>
      <c r="M904" s="199">
        <v>1.54</v>
      </c>
    </row>
    <row r="905" spans="1:13" ht="15" customHeight="1" x14ac:dyDescent="0.25">
      <c r="A905" s="49">
        <v>1983</v>
      </c>
      <c r="B905" s="330" t="s">
        <v>27</v>
      </c>
      <c r="C905" s="331">
        <v>8403389408</v>
      </c>
      <c r="D905" s="331">
        <v>4218793473</v>
      </c>
      <c r="E905" s="331">
        <v>84248396</v>
      </c>
      <c r="F905" s="331">
        <v>131056</v>
      </c>
      <c r="G905" s="370">
        <f t="shared" si="42"/>
        <v>1.559561191764303E-5</v>
      </c>
      <c r="H905" s="370">
        <f t="shared" si="43"/>
        <v>3.1064805812076312E-5</v>
      </c>
      <c r="I905" s="331">
        <v>219621</v>
      </c>
      <c r="J905" s="331">
        <v>0</v>
      </c>
      <c r="K905" s="331">
        <f t="shared" si="44"/>
        <v>219621</v>
      </c>
      <c r="L905" s="199">
        <v>2</v>
      </c>
      <c r="M905" s="199">
        <v>1.68</v>
      </c>
    </row>
    <row r="906" spans="1:13" ht="15" customHeight="1" x14ac:dyDescent="0.25">
      <c r="A906" s="49">
        <v>1984</v>
      </c>
      <c r="B906" s="330" t="s">
        <v>27</v>
      </c>
      <c r="C906" s="331">
        <v>9048378553</v>
      </c>
      <c r="D906" s="331">
        <v>4438726168</v>
      </c>
      <c r="E906" s="331">
        <v>128095194</v>
      </c>
      <c r="F906" s="331">
        <v>93640</v>
      </c>
      <c r="G906" s="370">
        <f t="shared" si="42"/>
        <v>1.0348815475779753E-5</v>
      </c>
      <c r="H906" s="370">
        <f t="shared" si="43"/>
        <v>2.1096142554383407E-5</v>
      </c>
      <c r="I906" s="331">
        <v>275675</v>
      </c>
      <c r="J906" s="331">
        <v>0</v>
      </c>
      <c r="K906" s="331">
        <f t="shared" si="44"/>
        <v>275675</v>
      </c>
      <c r="L906" s="199">
        <v>2.89</v>
      </c>
      <c r="M906" s="199">
        <v>1.68</v>
      </c>
    </row>
    <row r="907" spans="1:13" ht="15" customHeight="1" x14ac:dyDescent="0.25">
      <c r="A907" s="49">
        <v>1985</v>
      </c>
      <c r="B907" s="330" t="s">
        <v>27</v>
      </c>
      <c r="C907" s="331">
        <v>9530393133</v>
      </c>
      <c r="D907" s="331">
        <v>4541555249</v>
      </c>
      <c r="E907" s="331">
        <v>140199659</v>
      </c>
      <c r="F907" s="331">
        <v>98442</v>
      </c>
      <c r="G907" s="370">
        <f t="shared" si="42"/>
        <v>1.0329269593206402E-5</v>
      </c>
      <c r="H907" s="370">
        <f t="shared" si="43"/>
        <v>2.1675834511024792E-5</v>
      </c>
      <c r="I907" s="331">
        <v>347438</v>
      </c>
      <c r="J907" s="331">
        <v>0</v>
      </c>
      <c r="K907" s="331">
        <f t="shared" si="44"/>
        <v>347438</v>
      </c>
      <c r="L907" s="199">
        <v>3.09</v>
      </c>
      <c r="M907" s="199">
        <v>1.68</v>
      </c>
    </row>
    <row r="908" spans="1:13" ht="15" customHeight="1" x14ac:dyDescent="0.25">
      <c r="A908" s="49">
        <v>1986</v>
      </c>
      <c r="B908" s="330" t="s">
        <v>27</v>
      </c>
      <c r="C908" s="331">
        <v>9906598103</v>
      </c>
      <c r="D908" s="331">
        <v>4606971501</v>
      </c>
      <c r="E908" s="331">
        <v>88882290</v>
      </c>
      <c r="F908" s="331">
        <v>106795</v>
      </c>
      <c r="G908" s="370">
        <f t="shared" si="42"/>
        <v>1.0780189010358605E-5</v>
      </c>
      <c r="H908" s="370">
        <f t="shared" si="43"/>
        <v>2.3181172268336983E-5</v>
      </c>
      <c r="I908" s="331">
        <v>372903</v>
      </c>
      <c r="J908" s="331">
        <v>0</v>
      </c>
      <c r="K908" s="331">
        <f t="shared" si="44"/>
        <v>372903</v>
      </c>
      <c r="L908" s="199">
        <v>1.93</v>
      </c>
      <c r="M908" s="199">
        <v>1.68</v>
      </c>
    </row>
    <row r="909" spans="1:13" ht="15" customHeight="1" x14ac:dyDescent="0.25">
      <c r="A909" s="49">
        <v>1987</v>
      </c>
      <c r="B909" s="330" t="s">
        <v>27</v>
      </c>
      <c r="C909" s="331">
        <v>10467113234</v>
      </c>
      <c r="D909" s="331">
        <v>4729869633</v>
      </c>
      <c r="E909" s="331">
        <v>60063250</v>
      </c>
      <c r="F909" s="331">
        <v>95139</v>
      </c>
      <c r="G909" s="370">
        <f t="shared" si="42"/>
        <v>9.0893255736417298E-6</v>
      </c>
      <c r="H909" s="370">
        <f t="shared" si="43"/>
        <v>2.0114507879080057E-5</v>
      </c>
      <c r="I909" s="331">
        <v>369932</v>
      </c>
      <c r="J909" s="331">
        <v>0</v>
      </c>
      <c r="K909" s="331">
        <f t="shared" si="44"/>
        <v>369932</v>
      </c>
      <c r="L909" s="199">
        <v>1.27</v>
      </c>
      <c r="M909" s="199">
        <v>1.68</v>
      </c>
    </row>
    <row r="910" spans="1:13" ht="15" customHeight="1" x14ac:dyDescent="0.25">
      <c r="A910" s="49">
        <v>1988</v>
      </c>
      <c r="B910" s="330" t="s">
        <v>27</v>
      </c>
      <c r="C910" s="331">
        <v>11208331107</v>
      </c>
      <c r="D910" s="331">
        <v>4943235527</v>
      </c>
      <c r="E910" s="331">
        <v>56564146</v>
      </c>
      <c r="F910" s="331">
        <v>82310</v>
      </c>
      <c r="G910" s="370">
        <f t="shared" si="42"/>
        <v>7.3436445813591717E-6</v>
      </c>
      <c r="H910" s="370">
        <f t="shared" si="43"/>
        <v>1.6651037473416345E-5</v>
      </c>
      <c r="I910" s="331">
        <v>377660</v>
      </c>
      <c r="J910" s="331">
        <v>0</v>
      </c>
      <c r="K910" s="331">
        <f t="shared" si="44"/>
        <v>377660</v>
      </c>
      <c r="L910" s="199">
        <v>1.1399999999999999</v>
      </c>
      <c r="M910" s="199">
        <v>1.68</v>
      </c>
    </row>
    <row r="911" spans="1:13" x14ac:dyDescent="0.25">
      <c r="A911" s="49">
        <v>1989</v>
      </c>
      <c r="B911" s="330" t="s">
        <v>27</v>
      </c>
      <c r="C911" s="331">
        <v>11783546256</v>
      </c>
      <c r="D911" s="331">
        <v>5125758895</v>
      </c>
      <c r="E911" s="331">
        <v>65052254</v>
      </c>
      <c r="F911" s="331">
        <v>88585</v>
      </c>
      <c r="G911" s="370">
        <f t="shared" si="42"/>
        <v>7.517685938975619E-6</v>
      </c>
      <c r="H911" s="370">
        <f t="shared" si="43"/>
        <v>1.7282318933575199E-5</v>
      </c>
      <c r="I911" s="331">
        <v>388272</v>
      </c>
      <c r="J911" s="331">
        <v>0</v>
      </c>
      <c r="K911" s="331">
        <f t="shared" si="44"/>
        <v>388272</v>
      </c>
      <c r="L911" s="199">
        <v>1.27</v>
      </c>
      <c r="M911" s="199">
        <v>1.68</v>
      </c>
    </row>
    <row r="912" spans="1:13" ht="15" customHeight="1" x14ac:dyDescent="0.25">
      <c r="A912" s="49">
        <v>1990</v>
      </c>
      <c r="B912" s="330" t="s">
        <v>27</v>
      </c>
      <c r="C912" s="331">
        <v>12489571261</v>
      </c>
      <c r="D912" s="331">
        <v>5292261277</v>
      </c>
      <c r="E912" s="331">
        <v>64974105</v>
      </c>
      <c r="F912" s="331">
        <v>98308</v>
      </c>
      <c r="G912" s="370">
        <f t="shared" si="42"/>
        <v>7.8712069410242342E-6</v>
      </c>
      <c r="H912" s="370">
        <f t="shared" si="43"/>
        <v>1.8575802450881148E-5</v>
      </c>
      <c r="I912" s="331">
        <v>386746</v>
      </c>
      <c r="J912" s="331">
        <v>0</v>
      </c>
      <c r="K912" s="331">
        <f t="shared" si="44"/>
        <v>386746</v>
      </c>
      <c r="L912" s="199">
        <v>1.23</v>
      </c>
      <c r="M912" s="199">
        <v>1.68</v>
      </c>
    </row>
    <row r="913" spans="1:13" ht="15" customHeight="1" x14ac:dyDescent="0.25">
      <c r="A913" s="49">
        <v>1991</v>
      </c>
      <c r="B913" s="330" t="s">
        <v>27</v>
      </c>
      <c r="C913" s="331">
        <v>12977640605</v>
      </c>
      <c r="D913" s="331">
        <v>5333706941</v>
      </c>
      <c r="E913" s="331">
        <v>50691936</v>
      </c>
      <c r="F913" s="331">
        <v>122280</v>
      </c>
      <c r="G913" s="370">
        <f t="shared" si="42"/>
        <v>9.4223598666223046E-6</v>
      </c>
      <c r="H913" s="370">
        <f t="shared" si="43"/>
        <v>2.2925894008168756E-5</v>
      </c>
      <c r="I913" s="331">
        <v>348593</v>
      </c>
      <c r="J913" s="331">
        <v>0</v>
      </c>
      <c r="K913" s="331">
        <f t="shared" si="44"/>
        <v>348593</v>
      </c>
      <c r="L913" s="199">
        <v>0.95</v>
      </c>
      <c r="M913" s="199">
        <v>1.68</v>
      </c>
    </row>
    <row r="914" spans="1:13" ht="15" customHeight="1" x14ac:dyDescent="0.25">
      <c r="A914" s="49">
        <v>1992</v>
      </c>
      <c r="B914" s="330" t="s">
        <v>27</v>
      </c>
      <c r="C914" s="331">
        <v>13942734405</v>
      </c>
      <c r="D914" s="331">
        <v>5500596083</v>
      </c>
      <c r="E914" s="331">
        <v>99474379</v>
      </c>
      <c r="F914" s="331">
        <v>121110</v>
      </c>
      <c r="G914" s="370">
        <f t="shared" si="42"/>
        <v>8.686244497103005E-6</v>
      </c>
      <c r="H914" s="370">
        <f t="shared" si="43"/>
        <v>2.2017613759043212E-5</v>
      </c>
      <c r="I914" s="331">
        <v>345352</v>
      </c>
      <c r="J914" s="331">
        <v>0</v>
      </c>
      <c r="K914" s="331">
        <f t="shared" si="44"/>
        <v>345352</v>
      </c>
      <c r="L914" s="199">
        <v>1.81</v>
      </c>
      <c r="M914" s="199">
        <v>1.68</v>
      </c>
    </row>
    <row r="915" spans="1:13" ht="15" customHeight="1" x14ac:dyDescent="0.25">
      <c r="A915" s="49">
        <v>1993</v>
      </c>
      <c r="B915" s="330" t="s">
        <v>27</v>
      </c>
      <c r="C915" s="331">
        <v>14988607519</v>
      </c>
      <c r="D915" s="331">
        <v>5858641681</v>
      </c>
      <c r="E915" s="331">
        <v>132987876</v>
      </c>
      <c r="F915" s="331">
        <v>92123</v>
      </c>
      <c r="G915" s="370">
        <f t="shared" si="42"/>
        <v>6.1462013654852308E-6</v>
      </c>
      <c r="H915" s="370">
        <f t="shared" si="43"/>
        <v>1.5724293277529087E-5</v>
      </c>
      <c r="I915" s="331">
        <v>410259</v>
      </c>
      <c r="J915" s="331">
        <v>0</v>
      </c>
      <c r="K915" s="331">
        <f t="shared" si="44"/>
        <v>410259</v>
      </c>
      <c r="L915" s="199">
        <v>2.27</v>
      </c>
      <c r="M915" s="199">
        <v>1.68</v>
      </c>
    </row>
    <row r="916" spans="1:13" ht="15" customHeight="1" x14ac:dyDescent="0.25">
      <c r="A916" s="49">
        <v>1994</v>
      </c>
      <c r="B916" s="330" t="s">
        <v>27</v>
      </c>
      <c r="C916" s="331">
        <v>16451638867</v>
      </c>
      <c r="D916" s="331">
        <v>6372964805</v>
      </c>
      <c r="E916" s="331">
        <v>140141948</v>
      </c>
      <c r="F916" s="331">
        <v>90442</v>
      </c>
      <c r="G916" s="370">
        <f t="shared" si="42"/>
        <v>5.4974462259450469E-6</v>
      </c>
      <c r="H916" s="370">
        <f t="shared" si="43"/>
        <v>1.4191510979166626E-5</v>
      </c>
      <c r="I916" s="331">
        <v>490392</v>
      </c>
      <c r="J916" s="331">
        <v>0</v>
      </c>
      <c r="K916" s="331">
        <f t="shared" si="44"/>
        <v>490392</v>
      </c>
      <c r="L916" s="199">
        <v>2.2000000000000002</v>
      </c>
      <c r="M916" s="199">
        <v>1.68</v>
      </c>
    </row>
    <row r="917" spans="1:13" ht="15" customHeight="1" x14ac:dyDescent="0.25">
      <c r="A917" s="49">
        <v>1995</v>
      </c>
      <c r="B917" s="330" t="s">
        <v>27</v>
      </c>
      <c r="C917" s="331">
        <v>17305580445</v>
      </c>
      <c r="D917" s="331">
        <v>6494483632</v>
      </c>
      <c r="E917" s="331">
        <v>133452114</v>
      </c>
      <c r="F917" s="331">
        <v>111931</v>
      </c>
      <c r="G917" s="370">
        <f t="shared" si="42"/>
        <v>6.4679136510754579E-6</v>
      </c>
      <c r="H917" s="370">
        <f t="shared" si="43"/>
        <v>1.7234780521808852E-5</v>
      </c>
      <c r="I917" s="331">
        <v>551318</v>
      </c>
      <c r="J917" s="331">
        <v>0</v>
      </c>
      <c r="K917" s="331">
        <f t="shared" si="44"/>
        <v>551318</v>
      </c>
      <c r="L917" s="199">
        <v>2.0499999999999998</v>
      </c>
      <c r="M917" s="199">
        <v>1.57</v>
      </c>
    </row>
    <row r="918" spans="1:13" ht="15" customHeight="1" x14ac:dyDescent="0.25">
      <c r="A918" s="49">
        <v>1996</v>
      </c>
      <c r="B918" s="330" t="s">
        <v>27</v>
      </c>
      <c r="C918" s="331">
        <v>18159938598</v>
      </c>
      <c r="D918" s="331">
        <v>6632707303</v>
      </c>
      <c r="E918" s="331">
        <v>87775794</v>
      </c>
      <c r="F918" s="331">
        <v>128287</v>
      </c>
      <c r="G918" s="370">
        <f t="shared" si="42"/>
        <v>7.0642860000709791E-6</v>
      </c>
      <c r="H918" s="370">
        <f t="shared" si="43"/>
        <v>1.934157413247759E-5</v>
      </c>
      <c r="I918" s="331">
        <v>553222</v>
      </c>
      <c r="J918" s="331">
        <v>0</v>
      </c>
      <c r="K918" s="331">
        <f t="shared" si="44"/>
        <v>553222</v>
      </c>
      <c r="L918" s="199">
        <v>1.32</v>
      </c>
      <c r="M918" s="199">
        <v>1.57</v>
      </c>
    </row>
    <row r="919" spans="1:13" ht="15" customHeight="1" x14ac:dyDescent="0.25">
      <c r="A919" s="49">
        <v>1997</v>
      </c>
      <c r="B919" s="330" t="s">
        <v>27</v>
      </c>
      <c r="C919" s="331">
        <v>19378118479</v>
      </c>
      <c r="D919" s="331">
        <v>6873625112</v>
      </c>
      <c r="E919" s="331">
        <v>83072672</v>
      </c>
      <c r="F919" s="331">
        <v>109544</v>
      </c>
      <c r="G919" s="370">
        <f t="shared" si="42"/>
        <v>5.652974003575861E-6</v>
      </c>
      <c r="H919" s="370">
        <f t="shared" si="43"/>
        <v>1.5936859839614715E-5</v>
      </c>
      <c r="I919" s="331">
        <v>563901</v>
      </c>
      <c r="J919" s="331">
        <v>0</v>
      </c>
      <c r="K919" s="331">
        <f t="shared" si="44"/>
        <v>563901</v>
      </c>
      <c r="L919" s="199">
        <v>1.21</v>
      </c>
      <c r="M919" s="199">
        <v>1.57</v>
      </c>
    </row>
    <row r="920" spans="1:13" ht="15" customHeight="1" x14ac:dyDescent="0.25">
      <c r="A920" s="49">
        <v>1998</v>
      </c>
      <c r="B920" s="330" t="s">
        <v>27</v>
      </c>
      <c r="C920" s="331">
        <v>20894018814</v>
      </c>
      <c r="D920" s="331">
        <v>7218194582</v>
      </c>
      <c r="E920" s="331">
        <v>104790240</v>
      </c>
      <c r="F920" s="331">
        <v>100327</v>
      </c>
      <c r="G920" s="370">
        <f t="shared" si="42"/>
        <v>4.8017090868500639E-6</v>
      </c>
      <c r="H920" s="370">
        <f t="shared" si="43"/>
        <v>1.3899181971373461E-5</v>
      </c>
      <c r="I920" s="331">
        <v>601670</v>
      </c>
      <c r="J920" s="331">
        <v>0</v>
      </c>
      <c r="K920" s="331">
        <f t="shared" si="44"/>
        <v>601670</v>
      </c>
      <c r="L920" s="199">
        <v>1.45</v>
      </c>
      <c r="M920" s="199">
        <v>1.57</v>
      </c>
    </row>
    <row r="921" spans="1:13" ht="15" customHeight="1" x14ac:dyDescent="0.25">
      <c r="A921" s="49">
        <v>1999</v>
      </c>
      <c r="B921" s="330" t="s">
        <v>27</v>
      </c>
      <c r="C921" s="331">
        <v>21832359107</v>
      </c>
      <c r="D921" s="331">
        <v>7387436962</v>
      </c>
      <c r="E921" s="331">
        <v>123872061</v>
      </c>
      <c r="F921" s="331">
        <v>106085</v>
      </c>
      <c r="G921" s="370">
        <f t="shared" si="42"/>
        <v>4.8590717787335446E-6</v>
      </c>
      <c r="H921" s="370">
        <f t="shared" si="43"/>
        <v>1.4360190218297256E-5</v>
      </c>
      <c r="I921" s="331">
        <v>653206</v>
      </c>
      <c r="J921" s="331">
        <v>0</v>
      </c>
      <c r="K921" s="331">
        <f t="shared" si="44"/>
        <v>653206</v>
      </c>
      <c r="L921" s="199">
        <v>1.68</v>
      </c>
      <c r="M921" s="199">
        <v>1.57</v>
      </c>
    </row>
    <row r="922" spans="1:13" ht="15" customHeight="1" x14ac:dyDescent="0.25">
      <c r="A922" s="49">
        <v>2000</v>
      </c>
      <c r="B922" s="330" t="s">
        <v>27</v>
      </c>
      <c r="C922" s="331">
        <v>22380274832</v>
      </c>
      <c r="D922" s="331">
        <v>7330508360</v>
      </c>
      <c r="E922" s="331">
        <v>112679493</v>
      </c>
      <c r="F922" s="331">
        <v>117844</v>
      </c>
      <c r="G922" s="370">
        <f t="shared" si="42"/>
        <v>5.2655296185864105E-6</v>
      </c>
      <c r="H922" s="370">
        <f t="shared" si="43"/>
        <v>1.6075829153000244E-5</v>
      </c>
      <c r="I922" s="331">
        <v>695793</v>
      </c>
      <c r="J922" s="331">
        <v>0</v>
      </c>
      <c r="K922" s="331">
        <f t="shared" si="44"/>
        <v>695793</v>
      </c>
      <c r="L922" s="199">
        <v>1.54</v>
      </c>
      <c r="M922" s="199">
        <v>1.57</v>
      </c>
    </row>
    <row r="923" spans="1:13" ht="15" customHeight="1" x14ac:dyDescent="0.25">
      <c r="A923" s="49">
        <v>2001</v>
      </c>
      <c r="B923" s="330" t="s">
        <v>27</v>
      </c>
      <c r="C923" s="331">
        <v>22390710913</v>
      </c>
      <c r="D923" s="331">
        <v>7111270565</v>
      </c>
      <c r="E923" s="331">
        <v>94094473</v>
      </c>
      <c r="F923" s="331">
        <v>177063</v>
      </c>
      <c r="G923" s="370">
        <f t="shared" si="42"/>
        <v>7.9078775429679446E-6</v>
      </c>
      <c r="H923" s="370">
        <f t="shared" si="43"/>
        <v>2.4898926061323333E-5</v>
      </c>
      <c r="I923" s="331">
        <v>658687</v>
      </c>
      <c r="J923" s="331">
        <v>0</v>
      </c>
      <c r="K923" s="331">
        <f t="shared" si="44"/>
        <v>658687</v>
      </c>
      <c r="L923" s="199">
        <v>1.32</v>
      </c>
      <c r="M923" s="199">
        <v>1.53</v>
      </c>
    </row>
    <row r="924" spans="1:13" ht="15" customHeight="1" x14ac:dyDescent="0.25">
      <c r="A924" s="49">
        <v>2002</v>
      </c>
      <c r="B924" s="330" t="s">
        <v>27</v>
      </c>
      <c r="C924" s="331">
        <v>22742611140</v>
      </c>
      <c r="D924" s="331">
        <v>7015597534</v>
      </c>
      <c r="E924" s="331">
        <v>110933504</v>
      </c>
      <c r="F924" s="331">
        <v>187315</v>
      </c>
      <c r="G924" s="370">
        <f t="shared" si="42"/>
        <v>8.236301401229516E-6</v>
      </c>
      <c r="H924" s="370">
        <f t="shared" si="43"/>
        <v>2.6699792725025494E-5</v>
      </c>
      <c r="I924" s="331">
        <v>684215</v>
      </c>
      <c r="J924" s="331">
        <v>0</v>
      </c>
      <c r="K924" s="331">
        <f t="shared" si="44"/>
        <v>684215</v>
      </c>
      <c r="L924" s="199">
        <v>1.58</v>
      </c>
      <c r="M924" s="199">
        <v>1.53</v>
      </c>
    </row>
    <row r="925" spans="1:13" ht="15" customHeight="1" x14ac:dyDescent="0.25">
      <c r="A925" s="49">
        <v>2003</v>
      </c>
      <c r="B925" s="330" t="s">
        <v>27</v>
      </c>
      <c r="C925" s="331">
        <v>23169089681</v>
      </c>
      <c r="D925" s="331">
        <v>6952995517</v>
      </c>
      <c r="E925" s="331">
        <v>117455825</v>
      </c>
      <c r="F925" s="331">
        <v>185013</v>
      </c>
      <c r="G925" s="370">
        <f t="shared" si="42"/>
        <v>7.9853374710583213E-6</v>
      </c>
      <c r="H925" s="370">
        <f t="shared" si="43"/>
        <v>2.6609106758036184E-5</v>
      </c>
      <c r="I925" s="331">
        <v>647702</v>
      </c>
      <c r="J925" s="331">
        <v>0</v>
      </c>
      <c r="K925" s="331">
        <f t="shared" si="44"/>
        <v>647702</v>
      </c>
      <c r="L925" s="199">
        <v>1.69</v>
      </c>
      <c r="M925" s="199">
        <v>1.53</v>
      </c>
    </row>
    <row r="926" spans="1:13" ht="15" customHeight="1" x14ac:dyDescent="0.25">
      <c r="A926" s="49">
        <v>2004</v>
      </c>
      <c r="B926" s="330" t="s">
        <v>27</v>
      </c>
      <c r="C926" s="331">
        <v>24107761733</v>
      </c>
      <c r="D926" s="331">
        <v>7044307055</v>
      </c>
      <c r="E926" s="331">
        <v>158783781</v>
      </c>
      <c r="F926" s="331">
        <v>151114</v>
      </c>
      <c r="G926" s="370">
        <f t="shared" si="42"/>
        <v>6.2682716742279325E-6</v>
      </c>
      <c r="H926" s="370">
        <f t="shared" si="43"/>
        <v>2.1451932577632365E-5</v>
      </c>
      <c r="I926" s="331">
        <v>684470</v>
      </c>
      <c r="J926" s="331">
        <v>0</v>
      </c>
      <c r="K926" s="331">
        <f t="shared" si="44"/>
        <v>684470</v>
      </c>
      <c r="L926" s="199">
        <v>2.25</v>
      </c>
      <c r="M926" s="199">
        <v>1.53</v>
      </c>
    </row>
    <row r="927" spans="1:13" ht="15" customHeight="1" x14ac:dyDescent="0.25">
      <c r="A927" s="49">
        <v>2005</v>
      </c>
      <c r="B927" s="330" t="s">
        <v>27</v>
      </c>
      <c r="C927" s="331">
        <v>25282680610</v>
      </c>
      <c r="D927" s="331">
        <v>7260812941</v>
      </c>
      <c r="E927" s="331">
        <v>128577349</v>
      </c>
      <c r="F927" s="331">
        <v>207528</v>
      </c>
      <c r="G927" s="370">
        <f t="shared" si="42"/>
        <v>8.2083068326986227E-6</v>
      </c>
      <c r="H927" s="370">
        <f t="shared" si="43"/>
        <v>2.8581923496216401E-5</v>
      </c>
      <c r="I927" s="331">
        <v>724041</v>
      </c>
      <c r="J927" s="331">
        <v>0</v>
      </c>
      <c r="K927" s="331">
        <f t="shared" si="44"/>
        <v>724041</v>
      </c>
      <c r="L927" s="199">
        <v>1.77</v>
      </c>
      <c r="M927" s="199">
        <v>1.53</v>
      </c>
    </row>
    <row r="928" spans="1:13" ht="15" customHeight="1" x14ac:dyDescent="0.25">
      <c r="A928" s="49">
        <v>2006</v>
      </c>
      <c r="B928" s="330" t="s">
        <v>27</v>
      </c>
      <c r="C928" s="331">
        <v>26875239568</v>
      </c>
      <c r="D928" s="331">
        <v>7480591008</v>
      </c>
      <c r="E928" s="331">
        <v>129260944</v>
      </c>
      <c r="F928" s="331">
        <v>151834</v>
      </c>
      <c r="G928" s="370">
        <f t="shared" si="42"/>
        <v>5.6495868479917395E-6</v>
      </c>
      <c r="H928" s="370">
        <f t="shared" si="43"/>
        <v>2.029705939512313E-5</v>
      </c>
      <c r="I928" s="331">
        <v>732492</v>
      </c>
      <c r="J928" s="331">
        <v>0</v>
      </c>
      <c r="K928" s="331">
        <f t="shared" si="44"/>
        <v>732492</v>
      </c>
      <c r="L928" s="199">
        <v>1.73</v>
      </c>
      <c r="M928" s="199">
        <v>1.53</v>
      </c>
    </row>
    <row r="929" spans="1:13" ht="15" customHeight="1" x14ac:dyDescent="0.25">
      <c r="A929" s="49">
        <v>2007</v>
      </c>
      <c r="B929" s="330" t="s">
        <v>27</v>
      </c>
      <c r="C929" s="331">
        <v>27984320940</v>
      </c>
      <c r="D929" s="331">
        <v>7496705653</v>
      </c>
      <c r="E929" s="331">
        <v>101842941</v>
      </c>
      <c r="F929" s="331">
        <v>135992</v>
      </c>
      <c r="G929" s="370">
        <f t="shared" si="42"/>
        <v>4.8595783435865643E-6</v>
      </c>
      <c r="H929" s="370">
        <f t="shared" si="43"/>
        <v>1.8140234697033796E-5</v>
      </c>
      <c r="I929" s="331">
        <v>727918</v>
      </c>
      <c r="J929" s="331">
        <v>0</v>
      </c>
      <c r="K929" s="331">
        <f t="shared" si="44"/>
        <v>727918</v>
      </c>
      <c r="L929" s="199">
        <v>1.36</v>
      </c>
      <c r="M929" s="199">
        <v>1.53</v>
      </c>
    </row>
    <row r="930" spans="1:13" ht="15" customHeight="1" x14ac:dyDescent="0.25">
      <c r="A930" s="49">
        <v>2008</v>
      </c>
      <c r="B930" s="330" t="s">
        <v>27</v>
      </c>
      <c r="C930" s="331">
        <v>28730902501</v>
      </c>
      <c r="D930" s="331">
        <v>7431119880</v>
      </c>
      <c r="E930" s="331">
        <v>96898817</v>
      </c>
      <c r="F930" s="331">
        <v>177477</v>
      </c>
      <c r="G930" s="370">
        <f t="shared" si="42"/>
        <v>6.1772163263518364E-6</v>
      </c>
      <c r="H930" s="370">
        <f t="shared" si="43"/>
        <v>2.388294131516554E-5</v>
      </c>
      <c r="I930" s="331">
        <v>679152</v>
      </c>
      <c r="J930" s="331">
        <v>0</v>
      </c>
      <c r="K930" s="331">
        <f t="shared" si="44"/>
        <v>679152</v>
      </c>
      <c r="L930" s="199">
        <v>1.3</v>
      </c>
      <c r="M930" s="199">
        <v>1.53</v>
      </c>
    </row>
    <row r="931" spans="1:13" ht="15" customHeight="1" x14ac:dyDescent="0.25">
      <c r="A931" s="49">
        <v>2009</v>
      </c>
      <c r="B931" s="330" t="s">
        <v>27</v>
      </c>
      <c r="C931" s="331">
        <v>27083818937</v>
      </c>
      <c r="D931" s="331">
        <v>6799741961</v>
      </c>
      <c r="E931" s="331">
        <v>84947459</v>
      </c>
      <c r="F931" s="331">
        <v>338255</v>
      </c>
      <c r="G931" s="370">
        <f t="shared" si="42"/>
        <v>1.248919145364319E-5</v>
      </c>
      <c r="H931" s="370">
        <f t="shared" si="43"/>
        <v>4.9745270032313803E-5</v>
      </c>
      <c r="I931" s="331">
        <v>469903</v>
      </c>
      <c r="J931" s="331">
        <v>0</v>
      </c>
      <c r="K931" s="331">
        <f t="shared" si="44"/>
        <v>469903</v>
      </c>
      <c r="L931" s="199">
        <v>1.2</v>
      </c>
      <c r="M931" s="199">
        <v>1.02</v>
      </c>
    </row>
    <row r="932" spans="1:13" ht="15" customHeight="1" x14ac:dyDescent="0.25">
      <c r="A932" s="49">
        <v>2010</v>
      </c>
      <c r="B932" s="330" t="s">
        <v>27</v>
      </c>
      <c r="C932" s="331">
        <v>27313271838</v>
      </c>
      <c r="D932" s="331">
        <v>6879920655</v>
      </c>
      <c r="E932" s="331">
        <v>113525356</v>
      </c>
      <c r="F932" s="331">
        <v>264000</v>
      </c>
      <c r="G932" s="370">
        <f t="shared" si="42"/>
        <v>9.665630744124402E-6</v>
      </c>
      <c r="H932" s="370">
        <f t="shared" si="43"/>
        <v>3.8372535562330552E-5</v>
      </c>
      <c r="I932" s="331">
        <v>339704</v>
      </c>
      <c r="J932" s="331">
        <v>0</v>
      </c>
      <c r="K932" s="331">
        <f t="shared" si="44"/>
        <v>339704</v>
      </c>
      <c r="L932" s="199">
        <v>1.7</v>
      </c>
      <c r="M932" s="199">
        <v>1.06</v>
      </c>
    </row>
    <row r="933" spans="1:13" ht="15" customHeight="1" x14ac:dyDescent="0.25">
      <c r="A933" s="49">
        <v>2011</v>
      </c>
      <c r="B933" s="330" t="s">
        <v>27</v>
      </c>
      <c r="C933" s="331">
        <v>27962865109</v>
      </c>
      <c r="D933" s="331">
        <v>11500030350</v>
      </c>
      <c r="E933" s="331">
        <v>249026095</v>
      </c>
      <c r="F933" s="331">
        <v>203983</v>
      </c>
      <c r="G933" s="370">
        <f t="shared" si="42"/>
        <v>7.2947818188468448E-6</v>
      </c>
      <c r="H933" s="370">
        <f t="shared" si="43"/>
        <v>1.7737605362058892E-5</v>
      </c>
      <c r="I933" s="331">
        <v>365142</v>
      </c>
      <c r="J933" s="331">
        <v>0</v>
      </c>
      <c r="K933" s="331">
        <f t="shared" si="44"/>
        <v>365142</v>
      </c>
      <c r="L933" s="199">
        <v>2.2000000000000002</v>
      </c>
      <c r="M933" s="199">
        <v>1.06</v>
      </c>
    </row>
    <row r="934" spans="1:13" ht="15" customHeight="1" x14ac:dyDescent="0.25">
      <c r="A934" s="49">
        <v>2012</v>
      </c>
      <c r="B934" s="330" t="s">
        <v>27</v>
      </c>
      <c r="C934" s="331">
        <v>29079503622</v>
      </c>
      <c r="D934" s="331">
        <v>11924693664</v>
      </c>
      <c r="E934" s="331">
        <v>273057202</v>
      </c>
      <c r="F934" s="331">
        <v>174841</v>
      </c>
      <c r="G934" s="370">
        <f t="shared" si="42"/>
        <v>6.0125166602818014E-6</v>
      </c>
      <c r="H934" s="370">
        <f t="shared" si="43"/>
        <v>1.4662095725598004E-5</v>
      </c>
      <c r="I934" s="331">
        <v>462913</v>
      </c>
      <c r="J934" s="331">
        <v>0</v>
      </c>
      <c r="K934" s="331">
        <f t="shared" si="44"/>
        <v>462913</v>
      </c>
      <c r="L934" s="199">
        <v>2.29</v>
      </c>
      <c r="M934" s="199">
        <v>1.06</v>
      </c>
    </row>
    <row r="935" spans="1:13" ht="15" customHeight="1" x14ac:dyDescent="0.25">
      <c r="A935" s="49">
        <v>2013</v>
      </c>
      <c r="B935" s="330" t="s">
        <v>27</v>
      </c>
      <c r="C935" s="331">
        <v>29890054212</v>
      </c>
      <c r="D935" s="331">
        <v>12091603232</v>
      </c>
      <c r="E935" s="331">
        <v>187941623</v>
      </c>
      <c r="F935" s="331">
        <v>160804</v>
      </c>
      <c r="G935" s="370">
        <f t="shared" si="42"/>
        <v>5.3798497272528133E-6</v>
      </c>
      <c r="H935" s="370">
        <f t="shared" si="43"/>
        <v>1.3298815460173049E-5</v>
      </c>
      <c r="I935" s="331">
        <v>510776</v>
      </c>
      <c r="J935" s="331">
        <v>0</v>
      </c>
      <c r="K935" s="331">
        <f t="shared" si="44"/>
        <v>510776</v>
      </c>
      <c r="L935" s="199">
        <v>1.55</v>
      </c>
      <c r="M935" s="199">
        <v>1.06</v>
      </c>
    </row>
    <row r="936" spans="1:13" ht="15" customHeight="1" x14ac:dyDescent="0.25">
      <c r="A936" s="49">
        <v>2014</v>
      </c>
      <c r="B936" s="330" t="s">
        <v>27</v>
      </c>
      <c r="C936" s="331">
        <v>30772741322</v>
      </c>
      <c r="D936" s="331">
        <v>12332884767</v>
      </c>
      <c r="E936" s="331">
        <v>148267056</v>
      </c>
      <c r="F936" s="331">
        <v>131082</v>
      </c>
      <c r="G936" s="370">
        <f t="shared" si="42"/>
        <v>4.2596790005928741E-6</v>
      </c>
      <c r="H936" s="370">
        <f t="shared" si="43"/>
        <v>1.0628656837104784E-5</v>
      </c>
      <c r="I936" s="331">
        <v>491875</v>
      </c>
      <c r="J936" s="331">
        <v>0</v>
      </c>
      <c r="K936" s="331">
        <f t="shared" si="44"/>
        <v>491875</v>
      </c>
      <c r="L936" s="333">
        <v>1.2022090435542623</v>
      </c>
      <c r="M936" s="199">
        <v>1.06</v>
      </c>
    </row>
    <row r="937" spans="1:13" ht="15" customHeight="1" x14ac:dyDescent="0.25">
      <c r="A937" s="49">
        <v>2015</v>
      </c>
      <c r="B937" s="330" t="s">
        <v>27</v>
      </c>
      <c r="C937" s="334">
        <v>31524352000</v>
      </c>
      <c r="D937" s="334">
        <v>12522891000</v>
      </c>
      <c r="E937" s="334">
        <v>153894000</v>
      </c>
      <c r="F937" s="331">
        <v>94002</v>
      </c>
      <c r="G937" s="370">
        <f t="shared" si="42"/>
        <v>2.9818852422406652E-6</v>
      </c>
      <c r="H937" s="370">
        <f t="shared" si="43"/>
        <v>7.5064136548022338E-6</v>
      </c>
      <c r="I937" s="331">
        <v>599570</v>
      </c>
      <c r="J937" s="199">
        <v>0</v>
      </c>
      <c r="K937" s="331">
        <f t="shared" si="44"/>
        <v>599570</v>
      </c>
      <c r="L937" s="199">
        <v>1.1000000000000001</v>
      </c>
      <c r="M937" s="199">
        <v>1.06</v>
      </c>
    </row>
    <row r="938" spans="1:13" ht="15" customHeight="1" x14ac:dyDescent="0.25">
      <c r="A938" s="49">
        <v>1980</v>
      </c>
      <c r="B938" s="330" t="s">
        <v>28</v>
      </c>
      <c r="C938" s="331">
        <v>3086323414</v>
      </c>
      <c r="D938" s="331">
        <v>1951490516</v>
      </c>
      <c r="E938" s="331">
        <v>44982964</v>
      </c>
      <c r="F938" s="331">
        <v>41214</v>
      </c>
      <c r="G938" s="370">
        <f t="shared" si="42"/>
        <v>1.3353752822224483E-5</v>
      </c>
      <c r="H938" s="370">
        <f t="shared" si="43"/>
        <v>2.1119241760127517E-5</v>
      </c>
      <c r="I938" s="331">
        <v>19881</v>
      </c>
      <c r="J938" s="331">
        <v>0</v>
      </c>
      <c r="K938" s="331">
        <f t="shared" si="44"/>
        <v>19881</v>
      </c>
      <c r="L938" s="199">
        <v>2.31</v>
      </c>
      <c r="M938" s="199">
        <v>2.0099999999999998</v>
      </c>
    </row>
    <row r="939" spans="1:13" ht="15" customHeight="1" x14ac:dyDescent="0.25">
      <c r="A939" s="49">
        <v>1981</v>
      </c>
      <c r="B939" s="330" t="s">
        <v>28</v>
      </c>
      <c r="C939" s="331">
        <v>3326061331</v>
      </c>
      <c r="D939" s="331">
        <v>2083742145</v>
      </c>
      <c r="E939" s="331">
        <v>48121960</v>
      </c>
      <c r="F939" s="331">
        <v>41482</v>
      </c>
      <c r="G939" s="370">
        <f t="shared" si="42"/>
        <v>1.2471808506167321E-5</v>
      </c>
      <c r="H939" s="370">
        <f t="shared" si="43"/>
        <v>1.9907453568349265E-5</v>
      </c>
      <c r="I939" s="331">
        <v>28073</v>
      </c>
      <c r="J939" s="331">
        <v>0</v>
      </c>
      <c r="K939" s="331">
        <f t="shared" si="44"/>
        <v>28073</v>
      </c>
      <c r="L939" s="199">
        <v>2.31</v>
      </c>
      <c r="M939" s="199">
        <v>1.79</v>
      </c>
    </row>
    <row r="940" spans="1:13" ht="15" customHeight="1" x14ac:dyDescent="0.25">
      <c r="A940" s="49">
        <v>1982</v>
      </c>
      <c r="B940" s="330" t="s">
        <v>28</v>
      </c>
      <c r="C940" s="331">
        <v>3416460706</v>
      </c>
      <c r="D940" s="331">
        <v>2113422963</v>
      </c>
      <c r="E940" s="331">
        <v>44139102</v>
      </c>
      <c r="F940" s="331">
        <v>61597</v>
      </c>
      <c r="G940" s="370">
        <f t="shared" si="42"/>
        <v>1.8029477081888616E-5</v>
      </c>
      <c r="H940" s="370">
        <f t="shared" si="43"/>
        <v>2.9145609316444244E-5</v>
      </c>
      <c r="I940" s="331">
        <v>9216</v>
      </c>
      <c r="J940" s="331">
        <v>0</v>
      </c>
      <c r="K940" s="331">
        <f t="shared" si="44"/>
        <v>9216</v>
      </c>
      <c r="L940" s="199">
        <v>2.09</v>
      </c>
      <c r="M940" s="199">
        <v>1.88</v>
      </c>
    </row>
    <row r="941" spans="1:13" ht="15" customHeight="1" x14ac:dyDescent="0.25">
      <c r="A941" s="49">
        <v>1983</v>
      </c>
      <c r="B941" s="330" t="s">
        <v>28</v>
      </c>
      <c r="C941" s="331">
        <v>3567192428</v>
      </c>
      <c r="D941" s="331">
        <v>2211785406</v>
      </c>
      <c r="E941" s="331">
        <v>50615814</v>
      </c>
      <c r="F941" s="331">
        <v>58810</v>
      </c>
      <c r="G941" s="370">
        <f t="shared" si="42"/>
        <v>1.6486354797790571E-5</v>
      </c>
      <c r="H941" s="370">
        <f t="shared" si="43"/>
        <v>2.6589378807032423E-5</v>
      </c>
      <c r="I941" s="331">
        <v>6778</v>
      </c>
      <c r="J941" s="331">
        <v>8556</v>
      </c>
      <c r="K941" s="331">
        <f t="shared" si="44"/>
        <v>-1778</v>
      </c>
      <c r="L941" s="199">
        <v>2.29</v>
      </c>
      <c r="M941" s="199">
        <v>1.88</v>
      </c>
    </row>
    <row r="942" spans="1:13" ht="15" customHeight="1" x14ac:dyDescent="0.25">
      <c r="A942" s="49">
        <v>1984</v>
      </c>
      <c r="B942" s="330" t="s">
        <v>28</v>
      </c>
      <c r="C942" s="331">
        <v>3724295321</v>
      </c>
      <c r="D942" s="331">
        <v>2314836433</v>
      </c>
      <c r="E942" s="331">
        <v>50944576</v>
      </c>
      <c r="F942" s="331">
        <v>52772</v>
      </c>
      <c r="G942" s="370">
        <f t="shared" si="42"/>
        <v>1.4169660419365009E-5</v>
      </c>
      <c r="H942" s="370">
        <f t="shared" si="43"/>
        <v>2.2797291094821816E-5</v>
      </c>
      <c r="I942" s="331">
        <v>6431</v>
      </c>
      <c r="J942" s="331">
        <v>8556</v>
      </c>
      <c r="K942" s="331">
        <f t="shared" si="44"/>
        <v>-2125</v>
      </c>
      <c r="L942" s="199">
        <v>2.2000000000000002</v>
      </c>
      <c r="M942" s="199">
        <v>1.88</v>
      </c>
    </row>
    <row r="943" spans="1:13" ht="15" customHeight="1" x14ac:dyDescent="0.25">
      <c r="A943" s="49">
        <v>1985</v>
      </c>
      <c r="B943" s="330" t="s">
        <v>28</v>
      </c>
      <c r="C943" s="331">
        <v>3757867708</v>
      </c>
      <c r="D943" s="331">
        <v>2656108075</v>
      </c>
      <c r="E943" s="331">
        <v>61947147</v>
      </c>
      <c r="F943" s="331">
        <v>52218</v>
      </c>
      <c r="G943" s="370">
        <f t="shared" si="42"/>
        <v>1.3895646163603586E-5</v>
      </c>
      <c r="H943" s="370">
        <f t="shared" si="43"/>
        <v>1.9659591600014243E-5</v>
      </c>
      <c r="I943" s="331">
        <v>12867</v>
      </c>
      <c r="J943" s="331">
        <v>0</v>
      </c>
      <c r="K943" s="331">
        <f t="shared" si="44"/>
        <v>12867</v>
      </c>
      <c r="L943" s="199">
        <v>2.33</v>
      </c>
      <c r="M943" s="199">
        <v>1.88</v>
      </c>
    </row>
    <row r="944" spans="1:13" ht="15" customHeight="1" x14ac:dyDescent="0.25">
      <c r="A944" s="49">
        <v>1986</v>
      </c>
      <c r="B944" s="330" t="s">
        <v>28</v>
      </c>
      <c r="C944" s="331">
        <v>3730173151</v>
      </c>
      <c r="D944" s="331">
        <v>2661830376</v>
      </c>
      <c r="E944" s="331">
        <v>61215737</v>
      </c>
      <c r="F944" s="331">
        <v>52286</v>
      </c>
      <c r="G944" s="370">
        <f t="shared" si="42"/>
        <v>1.401704368227061E-5</v>
      </c>
      <c r="H944" s="370">
        <f t="shared" si="43"/>
        <v>1.9642874493968131E-5</v>
      </c>
      <c r="I944" s="331">
        <v>29627</v>
      </c>
      <c r="J944" s="331">
        <v>0</v>
      </c>
      <c r="K944" s="331">
        <f t="shared" si="44"/>
        <v>29627</v>
      </c>
      <c r="L944" s="199">
        <v>2.2999999999999998</v>
      </c>
      <c r="M944" s="199">
        <v>1.88</v>
      </c>
    </row>
    <row r="945" spans="1:13" ht="15" customHeight="1" x14ac:dyDescent="0.25">
      <c r="A945" s="49">
        <v>1987</v>
      </c>
      <c r="B945" s="330" t="s">
        <v>28</v>
      </c>
      <c r="C945" s="331">
        <v>3797469411</v>
      </c>
      <c r="D945" s="331">
        <v>2681938830</v>
      </c>
      <c r="E945" s="331">
        <v>50568770</v>
      </c>
      <c r="F945" s="331">
        <v>42996</v>
      </c>
      <c r="G945" s="370">
        <f t="shared" si="42"/>
        <v>1.1322276849802912E-5</v>
      </c>
      <c r="H945" s="370">
        <f t="shared" si="43"/>
        <v>1.6031685554886425E-5</v>
      </c>
      <c r="I945" s="331">
        <v>45264</v>
      </c>
      <c r="J945" s="331">
        <v>0</v>
      </c>
      <c r="K945" s="331">
        <f t="shared" si="44"/>
        <v>45264</v>
      </c>
      <c r="L945" s="199">
        <v>1.89</v>
      </c>
      <c r="M945" s="199">
        <v>1.88</v>
      </c>
    </row>
    <row r="946" spans="1:13" x14ac:dyDescent="0.25">
      <c r="A946" s="49">
        <v>1988</v>
      </c>
      <c r="B946" s="330" t="s">
        <v>28</v>
      </c>
      <c r="C946" s="331">
        <v>4005476893</v>
      </c>
      <c r="D946" s="331">
        <v>2779749860</v>
      </c>
      <c r="E946" s="331">
        <v>48686524</v>
      </c>
      <c r="F946" s="331">
        <v>36403</v>
      </c>
      <c r="G946" s="370">
        <f t="shared" si="42"/>
        <v>9.0883060800121303E-6</v>
      </c>
      <c r="H946" s="370">
        <f t="shared" si="43"/>
        <v>1.3095782654342862E-5</v>
      </c>
      <c r="I946" s="331">
        <v>63728</v>
      </c>
      <c r="J946" s="331">
        <v>0</v>
      </c>
      <c r="K946" s="331">
        <f t="shared" si="44"/>
        <v>63728</v>
      </c>
      <c r="L946" s="199">
        <v>1.75</v>
      </c>
      <c r="M946" s="199">
        <v>1.88</v>
      </c>
    </row>
    <row r="947" spans="1:13" ht="15" customHeight="1" x14ac:dyDescent="0.25">
      <c r="A947" s="49">
        <v>1989</v>
      </c>
      <c r="B947" s="330" t="s">
        <v>28</v>
      </c>
      <c r="C947" s="331">
        <v>4203768234</v>
      </c>
      <c r="D947" s="331">
        <v>2910569377</v>
      </c>
      <c r="E947" s="331">
        <v>43278141</v>
      </c>
      <c r="F947" s="331">
        <v>33788</v>
      </c>
      <c r="G947" s="370">
        <f t="shared" si="42"/>
        <v>8.0375506258226315E-6</v>
      </c>
      <c r="H947" s="370">
        <f t="shared" si="43"/>
        <v>1.1608725174874951E-5</v>
      </c>
      <c r="I947" s="331">
        <v>80174</v>
      </c>
      <c r="J947" s="331">
        <v>0</v>
      </c>
      <c r="K947" s="331">
        <f t="shared" si="44"/>
        <v>80174</v>
      </c>
      <c r="L947" s="199">
        <v>1.49</v>
      </c>
      <c r="M947" s="199">
        <v>1.88</v>
      </c>
    </row>
    <row r="948" spans="1:13" ht="15" customHeight="1" x14ac:dyDescent="0.25">
      <c r="A948" s="49">
        <v>1990</v>
      </c>
      <c r="B948" s="330" t="s">
        <v>28</v>
      </c>
      <c r="C948" s="331">
        <v>4469136495</v>
      </c>
      <c r="D948" s="331">
        <v>3093141758</v>
      </c>
      <c r="E948" s="331">
        <v>40928792</v>
      </c>
      <c r="F948" s="331">
        <v>36497</v>
      </c>
      <c r="G948" s="370">
        <f t="shared" si="42"/>
        <v>8.1664545356429086E-6</v>
      </c>
      <c r="H948" s="370">
        <f t="shared" si="43"/>
        <v>1.1799329890266219E-5</v>
      </c>
      <c r="I948" s="331">
        <v>93190</v>
      </c>
      <c r="J948" s="331">
        <v>0</v>
      </c>
      <c r="K948" s="331">
        <f t="shared" si="44"/>
        <v>93190</v>
      </c>
      <c r="L948" s="199">
        <v>1.32</v>
      </c>
      <c r="M948" s="199">
        <v>1.88</v>
      </c>
    </row>
    <row r="949" spans="1:13" ht="15" customHeight="1" x14ac:dyDescent="0.25">
      <c r="A949" s="49">
        <v>1991</v>
      </c>
      <c r="B949" s="330" t="s">
        <v>28</v>
      </c>
      <c r="C949" s="331">
        <v>4769467417</v>
      </c>
      <c r="D949" s="331">
        <v>3283209233</v>
      </c>
      <c r="E949" s="331">
        <v>34160924</v>
      </c>
      <c r="F949" s="331">
        <v>45332</v>
      </c>
      <c r="G949" s="370">
        <f t="shared" si="42"/>
        <v>9.5046251576059353E-6</v>
      </c>
      <c r="H949" s="370">
        <f t="shared" si="43"/>
        <v>1.380722237996947E-5</v>
      </c>
      <c r="I949" s="331">
        <v>91119</v>
      </c>
      <c r="J949" s="331">
        <v>0</v>
      </c>
      <c r="K949" s="331">
        <f t="shared" si="44"/>
        <v>91119</v>
      </c>
      <c r="L949" s="199">
        <v>1.04</v>
      </c>
      <c r="M949" s="199">
        <v>1.88</v>
      </c>
    </row>
    <row r="950" spans="1:13" ht="15" customHeight="1" x14ac:dyDescent="0.25">
      <c r="A950" s="49">
        <v>1992</v>
      </c>
      <c r="B950" s="330" t="s">
        <v>28</v>
      </c>
      <c r="C950" s="331">
        <v>5144485519</v>
      </c>
      <c r="D950" s="331">
        <v>3542585563</v>
      </c>
      <c r="E950" s="331">
        <v>41901319</v>
      </c>
      <c r="F950" s="331">
        <v>42753</v>
      </c>
      <c r="G950" s="370">
        <f t="shared" si="42"/>
        <v>8.3104520057645046E-6</v>
      </c>
      <c r="H950" s="370">
        <f t="shared" si="43"/>
        <v>1.2068304135410943E-5</v>
      </c>
      <c r="I950" s="331">
        <v>96370</v>
      </c>
      <c r="J950" s="331">
        <v>0</v>
      </c>
      <c r="K950" s="331">
        <f t="shared" si="44"/>
        <v>96370</v>
      </c>
      <c r="L950" s="199">
        <v>1.18</v>
      </c>
      <c r="M950" s="199">
        <v>1.88</v>
      </c>
    </row>
    <row r="951" spans="1:13" ht="15" customHeight="1" x14ac:dyDescent="0.25">
      <c r="A951" s="49">
        <v>1993</v>
      </c>
      <c r="B951" s="330" t="s">
        <v>28</v>
      </c>
      <c r="C951" s="331">
        <v>5454004274</v>
      </c>
      <c r="D951" s="331">
        <v>3776862066</v>
      </c>
      <c r="E951" s="331">
        <v>50133293</v>
      </c>
      <c r="F951" s="331">
        <v>48265</v>
      </c>
      <c r="G951" s="370">
        <f t="shared" si="42"/>
        <v>8.8494613453249384E-6</v>
      </c>
      <c r="H951" s="370">
        <f t="shared" si="43"/>
        <v>1.2779126999233125E-5</v>
      </c>
      <c r="I951" s="331">
        <v>104415</v>
      </c>
      <c r="J951" s="331">
        <v>0</v>
      </c>
      <c r="K951" s="331">
        <f t="shared" si="44"/>
        <v>104415</v>
      </c>
      <c r="L951" s="199">
        <v>1.33</v>
      </c>
      <c r="M951" s="199">
        <v>1.88</v>
      </c>
    </row>
    <row r="952" spans="1:13" ht="15" customHeight="1" x14ac:dyDescent="0.25">
      <c r="A952" s="49">
        <v>1994</v>
      </c>
      <c r="B952" s="330" t="s">
        <v>28</v>
      </c>
      <c r="C952" s="331">
        <v>5685415551</v>
      </c>
      <c r="D952" s="331">
        <v>3949496859</v>
      </c>
      <c r="E952" s="331">
        <v>53772879</v>
      </c>
      <c r="F952" s="331">
        <v>52965</v>
      </c>
      <c r="G952" s="370">
        <f t="shared" si="42"/>
        <v>9.3159417328226877E-6</v>
      </c>
      <c r="H952" s="370">
        <f t="shared" si="43"/>
        <v>1.3410568963817475E-5</v>
      </c>
      <c r="I952" s="331">
        <v>110910</v>
      </c>
      <c r="J952" s="331">
        <v>0</v>
      </c>
      <c r="K952" s="331">
        <f t="shared" si="44"/>
        <v>110910</v>
      </c>
      <c r="L952" s="199">
        <v>1.36</v>
      </c>
      <c r="M952" s="199">
        <v>1.88</v>
      </c>
    </row>
    <row r="953" spans="1:13" ht="15" customHeight="1" x14ac:dyDescent="0.25">
      <c r="A953" s="49">
        <v>1995</v>
      </c>
      <c r="B953" s="330" t="s">
        <v>28</v>
      </c>
      <c r="C953" s="331">
        <v>5886877954</v>
      </c>
      <c r="D953" s="331">
        <v>4044197802</v>
      </c>
      <c r="E953" s="331">
        <v>56191561</v>
      </c>
      <c r="F953" s="331">
        <v>53472</v>
      </c>
      <c r="G953" s="370">
        <f t="shared" si="42"/>
        <v>9.0832526880682127E-6</v>
      </c>
      <c r="H953" s="370">
        <f t="shared" si="43"/>
        <v>1.3221905212835087E-5</v>
      </c>
      <c r="I953" s="331">
        <v>122242</v>
      </c>
      <c r="J953" s="331">
        <v>0</v>
      </c>
      <c r="K953" s="331">
        <f t="shared" si="44"/>
        <v>122242</v>
      </c>
      <c r="L953" s="199">
        <v>1.39</v>
      </c>
      <c r="M953" s="199">
        <v>1.8</v>
      </c>
    </row>
    <row r="954" spans="1:13" ht="15" customHeight="1" x14ac:dyDescent="0.25">
      <c r="A954" s="49">
        <v>1996</v>
      </c>
      <c r="B954" s="330" t="s">
        <v>28</v>
      </c>
      <c r="C954" s="331">
        <v>6199214230</v>
      </c>
      <c r="D954" s="331">
        <v>4251963679</v>
      </c>
      <c r="E954" s="331">
        <v>53937801</v>
      </c>
      <c r="F954" s="331">
        <v>59476</v>
      </c>
      <c r="G954" s="370">
        <f t="shared" si="42"/>
        <v>9.5941191566144663E-6</v>
      </c>
      <c r="H954" s="370">
        <f t="shared" si="43"/>
        <v>1.3987889946883998E-5</v>
      </c>
      <c r="I954" s="331">
        <v>125900</v>
      </c>
      <c r="J954" s="331">
        <v>0</v>
      </c>
      <c r="K954" s="331">
        <f t="shared" si="44"/>
        <v>125900</v>
      </c>
      <c r="L954" s="199">
        <v>1.27</v>
      </c>
      <c r="M954" s="199">
        <v>1.78</v>
      </c>
    </row>
    <row r="955" spans="1:13" ht="15" customHeight="1" x14ac:dyDescent="0.25">
      <c r="A955" s="49">
        <v>1997</v>
      </c>
      <c r="B955" s="330" t="s">
        <v>28</v>
      </c>
      <c r="C955" s="331">
        <v>6495659740</v>
      </c>
      <c r="D955" s="331">
        <v>4381563436</v>
      </c>
      <c r="E955" s="331">
        <v>55980592</v>
      </c>
      <c r="F955" s="331">
        <v>54163</v>
      </c>
      <c r="G955" s="370">
        <f t="shared" si="42"/>
        <v>8.3383370077817533E-6</v>
      </c>
      <c r="H955" s="370">
        <f t="shared" si="43"/>
        <v>1.2361569287114163E-5</v>
      </c>
      <c r="I955" s="331">
        <v>135604</v>
      </c>
      <c r="J955" s="331">
        <v>0</v>
      </c>
      <c r="K955" s="331">
        <f t="shared" si="44"/>
        <v>135604</v>
      </c>
      <c r="L955" s="199">
        <v>1.28</v>
      </c>
      <c r="M955" s="199">
        <v>1.7</v>
      </c>
    </row>
    <row r="956" spans="1:13" ht="15" customHeight="1" x14ac:dyDescent="0.25">
      <c r="A956" s="49">
        <v>1998</v>
      </c>
      <c r="B956" s="330" t="s">
        <v>28</v>
      </c>
      <c r="C956" s="331">
        <v>6818746487</v>
      </c>
      <c r="D956" s="331">
        <v>4536894753</v>
      </c>
      <c r="E956" s="331">
        <v>58627841</v>
      </c>
      <c r="F956" s="331">
        <v>52838</v>
      </c>
      <c r="G956" s="370">
        <f t="shared" si="42"/>
        <v>7.7489315815943746E-6</v>
      </c>
      <c r="H956" s="370">
        <f t="shared" si="43"/>
        <v>1.1646291764881943E-5</v>
      </c>
      <c r="I956" s="331">
        <v>151359</v>
      </c>
      <c r="J956" s="331">
        <v>0</v>
      </c>
      <c r="K956" s="331">
        <f t="shared" si="44"/>
        <v>151359</v>
      </c>
      <c r="L956" s="199">
        <v>1.29</v>
      </c>
      <c r="M956" s="199">
        <v>1.7</v>
      </c>
    </row>
    <row r="957" spans="1:13" ht="15" customHeight="1" x14ac:dyDescent="0.25">
      <c r="A957" s="49">
        <v>1999</v>
      </c>
      <c r="B957" s="330" t="s">
        <v>28</v>
      </c>
      <c r="C957" s="331">
        <v>7106289079</v>
      </c>
      <c r="D957" s="331">
        <v>4745588499</v>
      </c>
      <c r="E957" s="331">
        <v>61878808</v>
      </c>
      <c r="F957" s="331">
        <v>54930</v>
      </c>
      <c r="G957" s="370">
        <f t="shared" si="42"/>
        <v>7.7297727955263223E-6</v>
      </c>
      <c r="H957" s="370">
        <f t="shared" si="43"/>
        <v>1.1574960621127382E-5</v>
      </c>
      <c r="I957" s="331">
        <v>169011</v>
      </c>
      <c r="J957" s="331">
        <v>0</v>
      </c>
      <c r="K957" s="331">
        <f t="shared" si="44"/>
        <v>169011</v>
      </c>
      <c r="L957" s="199">
        <v>1.3</v>
      </c>
      <c r="M957" s="199">
        <v>1.7</v>
      </c>
    </row>
    <row r="958" spans="1:13" ht="15" customHeight="1" x14ac:dyDescent="0.25">
      <c r="A958" s="49">
        <v>2000</v>
      </c>
      <c r="B958" s="330" t="s">
        <v>28</v>
      </c>
      <c r="C958" s="331">
        <v>7513131993</v>
      </c>
      <c r="D958" s="331">
        <v>5031559701</v>
      </c>
      <c r="E958" s="331">
        <v>52867845</v>
      </c>
      <c r="F958" s="331">
        <v>56621</v>
      </c>
      <c r="G958" s="370">
        <f t="shared" si="42"/>
        <v>7.5362711653081426E-6</v>
      </c>
      <c r="H958" s="370">
        <f t="shared" si="43"/>
        <v>1.1253170659735356E-5</v>
      </c>
      <c r="I958" s="331">
        <v>181697</v>
      </c>
      <c r="J958" s="331">
        <v>0</v>
      </c>
      <c r="K958" s="331">
        <f t="shared" si="44"/>
        <v>181697</v>
      </c>
      <c r="L958" s="199">
        <v>1.05</v>
      </c>
      <c r="M958" s="199">
        <v>1.7</v>
      </c>
    </row>
    <row r="959" spans="1:13" ht="15" customHeight="1" x14ac:dyDescent="0.25">
      <c r="A959" s="49">
        <v>2001</v>
      </c>
      <c r="B959" s="330" t="s">
        <v>28</v>
      </c>
      <c r="C959" s="331">
        <v>7776168833</v>
      </c>
      <c r="D959" s="331">
        <v>5079366271</v>
      </c>
      <c r="E959" s="331">
        <v>55329018</v>
      </c>
      <c r="F959" s="331">
        <v>67436</v>
      </c>
      <c r="G959" s="370">
        <f t="shared" si="42"/>
        <v>8.6721368129019373E-6</v>
      </c>
      <c r="H959" s="370">
        <f t="shared" si="43"/>
        <v>1.3276459385301139E-5</v>
      </c>
      <c r="I959" s="331">
        <v>186919</v>
      </c>
      <c r="J959" s="331">
        <v>0</v>
      </c>
      <c r="K959" s="331">
        <f t="shared" si="44"/>
        <v>186919</v>
      </c>
      <c r="L959" s="199">
        <v>1.0900000000000001</v>
      </c>
      <c r="M959" s="199">
        <v>1.7</v>
      </c>
    </row>
    <row r="960" spans="1:13" ht="15" customHeight="1" x14ac:dyDescent="0.25">
      <c r="A960" s="49">
        <v>2002</v>
      </c>
      <c r="B960" s="330" t="s">
        <v>28</v>
      </c>
      <c r="C960" s="331">
        <v>8149315684</v>
      </c>
      <c r="D960" s="331">
        <v>5421923706</v>
      </c>
      <c r="E960" s="331">
        <v>60156918</v>
      </c>
      <c r="F960" s="331">
        <v>70197</v>
      </c>
      <c r="G960" s="370">
        <f t="shared" si="42"/>
        <v>8.6138520977683605E-6</v>
      </c>
      <c r="H960" s="370">
        <f t="shared" si="43"/>
        <v>1.294688081322847E-5</v>
      </c>
      <c r="I960" s="331">
        <v>206760</v>
      </c>
      <c r="J960" s="331">
        <v>0</v>
      </c>
      <c r="K960" s="331">
        <f t="shared" si="44"/>
        <v>206760</v>
      </c>
      <c r="L960" s="199">
        <v>1.1100000000000001</v>
      </c>
      <c r="M960" s="199">
        <v>1.7</v>
      </c>
    </row>
    <row r="961" spans="1:13" ht="15" customHeight="1" x14ac:dyDescent="0.25">
      <c r="A961" s="49">
        <v>2003</v>
      </c>
      <c r="B961" s="330" t="s">
        <v>28</v>
      </c>
      <c r="C961" s="331">
        <v>8481565487</v>
      </c>
      <c r="D961" s="331">
        <v>5691019773</v>
      </c>
      <c r="E961" s="331">
        <v>62581508</v>
      </c>
      <c r="F961" s="331">
        <v>78437</v>
      </c>
      <c r="G961" s="370">
        <f t="shared" si="42"/>
        <v>9.2479389707269496E-6</v>
      </c>
      <c r="H961" s="370">
        <f t="shared" si="43"/>
        <v>1.3782591368269351E-5</v>
      </c>
      <c r="I961" s="331">
        <v>196111</v>
      </c>
      <c r="J961" s="331">
        <v>0</v>
      </c>
      <c r="K961" s="331">
        <f t="shared" si="44"/>
        <v>196111</v>
      </c>
      <c r="L961" s="199">
        <v>1.1000000000000001</v>
      </c>
      <c r="M961" s="199">
        <v>1.7</v>
      </c>
    </row>
    <row r="962" spans="1:13" ht="15" customHeight="1" x14ac:dyDescent="0.25">
      <c r="A962" s="49">
        <v>2004</v>
      </c>
      <c r="B962" s="330" t="s">
        <v>28</v>
      </c>
      <c r="C962" s="331">
        <v>8965352013</v>
      </c>
      <c r="D962" s="331">
        <v>5930102366</v>
      </c>
      <c r="E962" s="331">
        <v>73012727</v>
      </c>
      <c r="F962" s="331">
        <v>66347</v>
      </c>
      <c r="G962" s="370">
        <f t="shared" ref="G962:G1025" si="45">F962/C962</f>
        <v>7.4003786916336444E-6</v>
      </c>
      <c r="H962" s="370">
        <f t="shared" ref="H962:H1025" si="46">F962/D962</f>
        <v>1.1188171114953734E-5</v>
      </c>
      <c r="I962" s="331">
        <v>204264</v>
      </c>
      <c r="J962" s="331">
        <v>0</v>
      </c>
      <c r="K962" s="331">
        <f t="shared" ref="K962:K1025" si="47">I962-J962</f>
        <v>204264</v>
      </c>
      <c r="L962" s="199">
        <v>1.23</v>
      </c>
      <c r="M962" s="199">
        <v>1.7</v>
      </c>
    </row>
    <row r="963" spans="1:13" ht="15" customHeight="1" x14ac:dyDescent="0.25">
      <c r="A963" s="49">
        <v>2005</v>
      </c>
      <c r="B963" s="330" t="s">
        <v>28</v>
      </c>
      <c r="C963" s="331">
        <v>9659285231</v>
      </c>
      <c r="D963" s="331">
        <v>6319460385</v>
      </c>
      <c r="E963" s="331">
        <v>73057623</v>
      </c>
      <c r="F963" s="331">
        <v>60758</v>
      </c>
      <c r="G963" s="370">
        <f t="shared" si="45"/>
        <v>6.2901134552903031E-6</v>
      </c>
      <c r="H963" s="370">
        <f t="shared" si="46"/>
        <v>9.6144284952266545E-6</v>
      </c>
      <c r="I963" s="331">
        <v>224007</v>
      </c>
      <c r="J963" s="331">
        <v>0</v>
      </c>
      <c r="K963" s="331">
        <f t="shared" si="47"/>
        <v>224007</v>
      </c>
      <c r="L963" s="199">
        <v>1.1599999999999999</v>
      </c>
      <c r="M963" s="199">
        <v>1.7</v>
      </c>
    </row>
    <row r="964" spans="1:13" ht="15" customHeight="1" x14ac:dyDescent="0.25">
      <c r="A964" s="49">
        <v>2006</v>
      </c>
      <c r="B964" s="330" t="s">
        <v>28</v>
      </c>
      <c r="C964" s="331">
        <v>10489814505</v>
      </c>
      <c r="D964" s="331">
        <v>6784320947</v>
      </c>
      <c r="E964" s="331">
        <v>79665775</v>
      </c>
      <c r="F964" s="331">
        <v>60182</v>
      </c>
      <c r="G964" s="370">
        <f t="shared" si="45"/>
        <v>5.7371843869416446E-6</v>
      </c>
      <c r="H964" s="370">
        <f t="shared" si="46"/>
        <v>8.8707477830352711E-6</v>
      </c>
      <c r="I964" s="331">
        <v>250437</v>
      </c>
      <c r="J964" s="331">
        <v>0</v>
      </c>
      <c r="K964" s="331">
        <f t="shared" si="47"/>
        <v>250437</v>
      </c>
      <c r="L964" s="199">
        <v>1.17</v>
      </c>
      <c r="M964" s="199">
        <v>1.7</v>
      </c>
    </row>
    <row r="965" spans="1:13" ht="15" customHeight="1" x14ac:dyDescent="0.25">
      <c r="A965" s="49">
        <v>2007</v>
      </c>
      <c r="B965" s="330" t="s">
        <v>28</v>
      </c>
      <c r="C965" s="331">
        <v>11365129136</v>
      </c>
      <c r="D965" s="331">
        <v>7349776182</v>
      </c>
      <c r="E965" s="331">
        <v>88225124</v>
      </c>
      <c r="F965" s="331">
        <v>67019</v>
      </c>
      <c r="G965" s="370">
        <f t="shared" si="45"/>
        <v>5.8968973601638805E-6</v>
      </c>
      <c r="H965" s="370">
        <f t="shared" si="46"/>
        <v>9.1185089641414062E-6</v>
      </c>
      <c r="I965" s="331">
        <v>280512</v>
      </c>
      <c r="J965" s="331">
        <v>0</v>
      </c>
      <c r="K965" s="331">
        <f t="shared" si="47"/>
        <v>280512</v>
      </c>
      <c r="L965" s="199">
        <v>1.2</v>
      </c>
      <c r="M965" s="199">
        <v>1.7</v>
      </c>
    </row>
    <row r="966" spans="1:13" ht="15" customHeight="1" x14ac:dyDescent="0.25">
      <c r="A966" s="49">
        <v>2008</v>
      </c>
      <c r="B966" s="330" t="s">
        <v>28</v>
      </c>
      <c r="C966" s="331">
        <v>11680594414</v>
      </c>
      <c r="D966" s="331">
        <v>7619868229</v>
      </c>
      <c r="E966" s="331">
        <v>74404587</v>
      </c>
      <c r="F966" s="331">
        <v>97728</v>
      </c>
      <c r="G966" s="370">
        <f t="shared" si="45"/>
        <v>8.3666974929688715E-6</v>
      </c>
      <c r="H966" s="370">
        <f t="shared" si="46"/>
        <v>1.2825418637564212E-5</v>
      </c>
      <c r="I966" s="331">
        <v>274994</v>
      </c>
      <c r="J966" s="331">
        <v>0</v>
      </c>
      <c r="K966" s="331">
        <f t="shared" si="47"/>
        <v>274994</v>
      </c>
      <c r="L966" s="199">
        <v>1</v>
      </c>
      <c r="M966" s="199">
        <v>1.7</v>
      </c>
    </row>
    <row r="967" spans="1:13" ht="15" customHeight="1" x14ac:dyDescent="0.25">
      <c r="A967" s="49">
        <v>2009</v>
      </c>
      <c r="B967" s="330" t="s">
        <v>28</v>
      </c>
      <c r="C967" s="331">
        <v>11159880861</v>
      </c>
      <c r="D967" s="331">
        <v>7455155596</v>
      </c>
      <c r="E967" s="331">
        <v>69356429</v>
      </c>
      <c r="F967" s="331">
        <v>204254</v>
      </c>
      <c r="G967" s="370">
        <f t="shared" si="45"/>
        <v>1.8302525138399862E-5</v>
      </c>
      <c r="H967" s="370">
        <f t="shared" si="46"/>
        <v>2.7397684376915048E-5</v>
      </c>
      <c r="I967" s="331">
        <v>166822</v>
      </c>
      <c r="J967" s="331">
        <v>0</v>
      </c>
      <c r="K967" s="331">
        <f t="shared" si="47"/>
        <v>166822</v>
      </c>
      <c r="L967" s="199">
        <v>0.9</v>
      </c>
      <c r="M967" s="199">
        <v>1.24</v>
      </c>
    </row>
    <row r="968" spans="1:13" ht="15" customHeight="1" x14ac:dyDescent="0.25">
      <c r="A968" s="49">
        <v>2010</v>
      </c>
      <c r="B968" s="330" t="s">
        <v>28</v>
      </c>
      <c r="C968" s="331">
        <v>11322465151</v>
      </c>
      <c r="D968" s="331">
        <v>7579549039</v>
      </c>
      <c r="E968" s="331">
        <v>116806409</v>
      </c>
      <c r="F968" s="331">
        <v>167500</v>
      </c>
      <c r="G968" s="370">
        <f t="shared" si="45"/>
        <v>1.4793598193164357E-5</v>
      </c>
      <c r="H968" s="370">
        <f t="shared" si="46"/>
        <v>2.2098940073893754E-5</v>
      </c>
      <c r="I968" s="331">
        <v>111973</v>
      </c>
      <c r="J968" s="331">
        <v>0</v>
      </c>
      <c r="K968" s="331">
        <f t="shared" si="47"/>
        <v>111973</v>
      </c>
      <c r="L968" s="199">
        <v>1.5</v>
      </c>
      <c r="M968" s="199">
        <v>1.42</v>
      </c>
    </row>
    <row r="969" spans="1:13" ht="15" customHeight="1" x14ac:dyDescent="0.25">
      <c r="A969" s="49">
        <v>2011</v>
      </c>
      <c r="B969" s="330" t="s">
        <v>28</v>
      </c>
      <c r="C969" s="331">
        <v>11845970690</v>
      </c>
      <c r="D969" s="331">
        <v>7805339064</v>
      </c>
      <c r="E969" s="331">
        <v>147926350</v>
      </c>
      <c r="F969" s="331">
        <v>130715</v>
      </c>
      <c r="G969" s="370">
        <f t="shared" si="45"/>
        <v>1.103455372469776E-5</v>
      </c>
      <c r="H969" s="370">
        <f t="shared" si="46"/>
        <v>1.6746870177989746E-5</v>
      </c>
      <c r="I969" s="331">
        <v>126802</v>
      </c>
      <c r="J969" s="331">
        <v>0</v>
      </c>
      <c r="K969" s="331">
        <f t="shared" si="47"/>
        <v>126802</v>
      </c>
      <c r="L969" s="199">
        <v>1.9</v>
      </c>
      <c r="M969" s="199">
        <v>1.47</v>
      </c>
    </row>
    <row r="970" spans="1:13" ht="15" customHeight="1" x14ac:dyDescent="0.25">
      <c r="A970" s="49">
        <v>2012</v>
      </c>
      <c r="B970" s="330" t="s">
        <v>28</v>
      </c>
      <c r="C970" s="331">
        <v>12559973120</v>
      </c>
      <c r="D970" s="331">
        <v>8170313808</v>
      </c>
      <c r="E970" s="331">
        <v>156596569</v>
      </c>
      <c r="F970" s="331">
        <v>119113</v>
      </c>
      <c r="G970" s="370">
        <f t="shared" si="45"/>
        <v>9.4835394042626744E-6</v>
      </c>
      <c r="H970" s="370">
        <f t="shared" si="46"/>
        <v>1.4578754598552868E-5</v>
      </c>
      <c r="I970" s="331">
        <v>168566</v>
      </c>
      <c r="J970" s="331">
        <v>0</v>
      </c>
      <c r="K970" s="331">
        <f t="shared" si="47"/>
        <v>168566</v>
      </c>
      <c r="L970" s="199">
        <v>1.92</v>
      </c>
      <c r="M970" s="199">
        <v>1.47</v>
      </c>
    </row>
    <row r="971" spans="1:13" ht="15" customHeight="1" x14ac:dyDescent="0.25">
      <c r="A971" s="49">
        <v>2013</v>
      </c>
      <c r="B971" s="330" t="s">
        <v>28</v>
      </c>
      <c r="C971" s="331">
        <v>12941584391</v>
      </c>
      <c r="D971" s="331">
        <v>8537541586</v>
      </c>
      <c r="E971" s="331">
        <v>153508159</v>
      </c>
      <c r="F971" s="331">
        <v>114336</v>
      </c>
      <c r="G971" s="370">
        <f t="shared" si="45"/>
        <v>8.8347760633939836E-6</v>
      </c>
      <c r="H971" s="370">
        <f t="shared" si="46"/>
        <v>1.3392145601667116E-5</v>
      </c>
      <c r="I971" s="331">
        <v>209941</v>
      </c>
      <c r="J971" s="331">
        <v>0</v>
      </c>
      <c r="K971" s="331">
        <f t="shared" si="47"/>
        <v>209941</v>
      </c>
      <c r="L971" s="199">
        <v>1.8</v>
      </c>
      <c r="M971" s="199">
        <v>1.47</v>
      </c>
    </row>
    <row r="972" spans="1:13" ht="15" customHeight="1" x14ac:dyDescent="0.25">
      <c r="A972" s="49">
        <v>2014</v>
      </c>
      <c r="B972" s="330" t="s">
        <v>28</v>
      </c>
      <c r="C972" s="331">
        <v>13527885436</v>
      </c>
      <c r="D972" s="331">
        <v>8917113253</v>
      </c>
      <c r="E972" s="331">
        <v>160711633</v>
      </c>
      <c r="F972" s="331">
        <v>95631</v>
      </c>
      <c r="G972" s="370">
        <f t="shared" si="45"/>
        <v>7.0691757741760342E-6</v>
      </c>
      <c r="H972" s="370">
        <f t="shared" si="46"/>
        <v>1.0724434835211574E-5</v>
      </c>
      <c r="I972" s="331">
        <v>267433</v>
      </c>
      <c r="J972" s="331">
        <v>0</v>
      </c>
      <c r="K972" s="331">
        <f t="shared" si="47"/>
        <v>267433</v>
      </c>
      <c r="L972" s="333">
        <v>1.8022831878459267</v>
      </c>
      <c r="M972" s="199">
        <v>1.47</v>
      </c>
    </row>
    <row r="973" spans="1:13" ht="15" customHeight="1" x14ac:dyDescent="0.25">
      <c r="A973" s="49">
        <v>2015</v>
      </c>
      <c r="B973" s="330" t="s">
        <v>28</v>
      </c>
      <c r="C973" s="334">
        <v>14284983000</v>
      </c>
      <c r="D973" s="334">
        <v>9375978000</v>
      </c>
      <c r="E973" s="334">
        <v>129490000</v>
      </c>
      <c r="F973" s="331">
        <v>94026</v>
      </c>
      <c r="G973" s="370">
        <f t="shared" si="45"/>
        <v>6.5821569406137901E-6</v>
      </c>
      <c r="H973" s="370">
        <f t="shared" si="46"/>
        <v>1.0028393837954824E-5</v>
      </c>
      <c r="I973" s="331">
        <v>309990</v>
      </c>
      <c r="J973" s="199">
        <v>0</v>
      </c>
      <c r="K973" s="331">
        <f t="shared" si="47"/>
        <v>309990</v>
      </c>
      <c r="L973" s="199">
        <v>1.5</v>
      </c>
      <c r="M973" s="199">
        <v>1.47</v>
      </c>
    </row>
    <row r="974" spans="1:13" ht="15" customHeight="1" x14ac:dyDescent="0.25">
      <c r="A974" s="49">
        <v>1980</v>
      </c>
      <c r="B974" s="330" t="s">
        <v>29</v>
      </c>
      <c r="C974" s="331">
        <v>22733118314</v>
      </c>
      <c r="D974" s="331">
        <v>11462046565</v>
      </c>
      <c r="E974" s="331">
        <v>215334368</v>
      </c>
      <c r="F974" s="331">
        <v>230529</v>
      </c>
      <c r="G974" s="370">
        <f t="shared" si="45"/>
        <v>1.0140667761273676E-5</v>
      </c>
      <c r="H974" s="370">
        <f t="shared" si="46"/>
        <v>2.0112376851088113E-5</v>
      </c>
      <c r="I974" s="331">
        <v>612730</v>
      </c>
      <c r="J974" s="331">
        <v>0</v>
      </c>
      <c r="K974" s="331">
        <f t="shared" si="47"/>
        <v>612730</v>
      </c>
      <c r="L974" s="199">
        <v>1.88</v>
      </c>
      <c r="M974" s="199">
        <v>1.71</v>
      </c>
    </row>
    <row r="975" spans="1:13" ht="15" customHeight="1" x14ac:dyDescent="0.25">
      <c r="A975" s="49">
        <v>1981</v>
      </c>
      <c r="B975" s="330" t="s">
        <v>29</v>
      </c>
      <c r="C975" s="331">
        <v>24973506924</v>
      </c>
      <c r="D975" s="331">
        <v>11828460065</v>
      </c>
      <c r="E975" s="331">
        <v>195029792</v>
      </c>
      <c r="F975" s="331">
        <v>248402</v>
      </c>
      <c r="G975" s="370">
        <f t="shared" si="45"/>
        <v>9.946620663086814E-6</v>
      </c>
      <c r="H975" s="370">
        <f t="shared" si="46"/>
        <v>2.1000366796267322E-5</v>
      </c>
      <c r="I975" s="331">
        <v>624556</v>
      </c>
      <c r="J975" s="331">
        <v>0</v>
      </c>
      <c r="K975" s="331">
        <f t="shared" si="47"/>
        <v>624556</v>
      </c>
      <c r="L975" s="199">
        <v>1.65</v>
      </c>
      <c r="M975" s="199">
        <v>1.6</v>
      </c>
    </row>
    <row r="976" spans="1:13" ht="15" customHeight="1" x14ac:dyDescent="0.25">
      <c r="A976" s="49">
        <v>1982</v>
      </c>
      <c r="B976" s="330" t="s">
        <v>29</v>
      </c>
      <c r="C976" s="331">
        <v>25730955449</v>
      </c>
      <c r="D976" s="331">
        <v>11433802963</v>
      </c>
      <c r="E976" s="331">
        <v>190461861</v>
      </c>
      <c r="F976" s="331">
        <v>448630</v>
      </c>
      <c r="G976" s="370">
        <f t="shared" si="45"/>
        <v>1.7435419407149742E-5</v>
      </c>
      <c r="H976" s="370">
        <f t="shared" si="46"/>
        <v>3.923716382482496E-5</v>
      </c>
      <c r="I976" s="331">
        <v>400345</v>
      </c>
      <c r="J976" s="331">
        <v>0</v>
      </c>
      <c r="K976" s="331">
        <f t="shared" si="47"/>
        <v>400345</v>
      </c>
      <c r="L976" s="199">
        <v>1.67</v>
      </c>
      <c r="M976" s="199">
        <v>1.86</v>
      </c>
    </row>
    <row r="977" spans="1:13" ht="15" customHeight="1" x14ac:dyDescent="0.25">
      <c r="A977" s="49">
        <v>1983</v>
      </c>
      <c r="B977" s="330" t="s">
        <v>29</v>
      </c>
      <c r="C977" s="331">
        <v>28411709061</v>
      </c>
      <c r="D977" s="331">
        <v>13542119941</v>
      </c>
      <c r="E977" s="331">
        <v>236197387</v>
      </c>
      <c r="F977" s="331">
        <v>295316</v>
      </c>
      <c r="G977" s="370">
        <f t="shared" si="45"/>
        <v>1.0394165284670342E-5</v>
      </c>
      <c r="H977" s="370">
        <f t="shared" si="46"/>
        <v>2.1807220825589053E-5</v>
      </c>
      <c r="I977" s="331">
        <v>345896</v>
      </c>
      <c r="J977" s="331">
        <v>0</v>
      </c>
      <c r="K977" s="331">
        <f t="shared" si="47"/>
        <v>345896</v>
      </c>
      <c r="L977" s="199">
        <v>1.74</v>
      </c>
      <c r="M977" s="199">
        <v>1.86</v>
      </c>
    </row>
    <row r="978" spans="1:13" ht="15" customHeight="1" x14ac:dyDescent="0.25">
      <c r="A978" s="49">
        <v>1984</v>
      </c>
      <c r="B978" s="330" t="s">
        <v>29</v>
      </c>
      <c r="C978" s="331">
        <v>31935753969</v>
      </c>
      <c r="D978" s="331">
        <v>16330288938</v>
      </c>
      <c r="E978" s="331">
        <v>417254594</v>
      </c>
      <c r="F978" s="331">
        <v>189285</v>
      </c>
      <c r="G978" s="370">
        <f t="shared" si="45"/>
        <v>5.9270559318480078E-6</v>
      </c>
      <c r="H978" s="370">
        <f t="shared" si="46"/>
        <v>1.1591038022575373E-5</v>
      </c>
      <c r="I978" s="331">
        <v>611860</v>
      </c>
      <c r="J978" s="331">
        <v>0</v>
      </c>
      <c r="K978" s="331">
        <f t="shared" si="47"/>
        <v>611860</v>
      </c>
      <c r="L978" s="199">
        <v>2.56</v>
      </c>
      <c r="M978" s="199">
        <v>1.86</v>
      </c>
    </row>
    <row r="979" spans="1:13" ht="15" customHeight="1" x14ac:dyDescent="0.25">
      <c r="A979" s="49">
        <v>1985</v>
      </c>
      <c r="B979" s="330" t="s">
        <v>29</v>
      </c>
      <c r="C979" s="331">
        <v>34764804329</v>
      </c>
      <c r="D979" s="331">
        <v>17690714748</v>
      </c>
      <c r="E979" s="331">
        <v>430499481</v>
      </c>
      <c r="F979" s="331">
        <v>241064</v>
      </c>
      <c r="G979" s="370">
        <f t="shared" si="45"/>
        <v>6.934139416366856E-6</v>
      </c>
      <c r="H979" s="370">
        <f t="shared" si="46"/>
        <v>1.3626583404565559E-5</v>
      </c>
      <c r="I979" s="331">
        <v>879252</v>
      </c>
      <c r="J979" s="331">
        <v>0</v>
      </c>
      <c r="K979" s="331">
        <f t="shared" si="47"/>
        <v>879252</v>
      </c>
      <c r="L979" s="199">
        <v>2.4300000000000002</v>
      </c>
      <c r="M979" s="199">
        <v>1.86</v>
      </c>
    </row>
    <row r="980" spans="1:13" ht="15" customHeight="1" x14ac:dyDescent="0.25">
      <c r="A980" s="49">
        <v>1986</v>
      </c>
      <c r="B980" s="330" t="s">
        <v>29</v>
      </c>
      <c r="C980" s="331">
        <v>37519610323</v>
      </c>
      <c r="D980" s="331">
        <v>19340285883</v>
      </c>
      <c r="E980" s="331">
        <v>358758663</v>
      </c>
      <c r="F980" s="331">
        <v>221911</v>
      </c>
      <c r="G980" s="370">
        <f t="shared" si="45"/>
        <v>5.914533708895311E-6</v>
      </c>
      <c r="H980" s="370">
        <f t="shared" si="46"/>
        <v>1.1474028943649612E-5</v>
      </c>
      <c r="I980" s="331">
        <v>1122691</v>
      </c>
      <c r="J980" s="331">
        <v>0</v>
      </c>
      <c r="K980" s="331">
        <f t="shared" si="47"/>
        <v>1122691</v>
      </c>
      <c r="L980" s="199">
        <v>1.85</v>
      </c>
      <c r="M980" s="199">
        <v>1.86</v>
      </c>
    </row>
    <row r="981" spans="1:13" x14ac:dyDescent="0.25">
      <c r="A981" s="49">
        <v>1987</v>
      </c>
      <c r="B981" s="330" t="s">
        <v>29</v>
      </c>
      <c r="C981" s="331">
        <v>41243818950</v>
      </c>
      <c r="D981" s="331">
        <v>21193594236</v>
      </c>
      <c r="E981" s="331">
        <v>225912132</v>
      </c>
      <c r="F981" s="331">
        <v>186800</v>
      </c>
      <c r="G981" s="370">
        <f t="shared" si="45"/>
        <v>4.5291635148155938E-6</v>
      </c>
      <c r="H981" s="370">
        <f t="shared" si="46"/>
        <v>8.8139839764742022E-6</v>
      </c>
      <c r="I981" s="331">
        <v>1248082</v>
      </c>
      <c r="J981" s="331">
        <v>0</v>
      </c>
      <c r="K981" s="331">
        <f t="shared" si="47"/>
        <v>1248082</v>
      </c>
      <c r="L981" s="199">
        <v>1.07</v>
      </c>
      <c r="M981" s="199">
        <v>1.86</v>
      </c>
    </row>
    <row r="982" spans="1:13" ht="15" customHeight="1" x14ac:dyDescent="0.25">
      <c r="A982" s="49">
        <v>1988</v>
      </c>
      <c r="B982" s="330" t="s">
        <v>29</v>
      </c>
      <c r="C982" s="331">
        <v>44797143725</v>
      </c>
      <c r="D982" s="331">
        <v>22920802166</v>
      </c>
      <c r="E982" s="331">
        <v>216416407</v>
      </c>
      <c r="F982" s="331">
        <v>182451</v>
      </c>
      <c r="G982" s="370">
        <f t="shared" si="45"/>
        <v>4.0728266319841133E-6</v>
      </c>
      <c r="H982" s="370">
        <f t="shared" si="46"/>
        <v>7.9600617237839125E-6</v>
      </c>
      <c r="I982" s="331">
        <v>1360016</v>
      </c>
      <c r="J982" s="331">
        <v>0</v>
      </c>
      <c r="K982" s="331">
        <f t="shared" si="47"/>
        <v>1360016</v>
      </c>
      <c r="L982" s="199">
        <v>0.94</v>
      </c>
      <c r="M982" s="199">
        <v>1.86</v>
      </c>
    </row>
    <row r="983" spans="1:13" ht="15" customHeight="1" x14ac:dyDescent="0.25">
      <c r="A983" s="49">
        <v>1989</v>
      </c>
      <c r="B983" s="330" t="s">
        <v>29</v>
      </c>
      <c r="C983" s="331">
        <v>47501132130</v>
      </c>
      <c r="D983" s="331">
        <v>24589860950</v>
      </c>
      <c r="E983" s="331">
        <v>240543203</v>
      </c>
      <c r="F983" s="331">
        <v>211909</v>
      </c>
      <c r="G983" s="370">
        <f t="shared" si="45"/>
        <v>4.4611357771442658E-6</v>
      </c>
      <c r="H983" s="370">
        <f t="shared" si="46"/>
        <v>8.617738848986862E-6</v>
      </c>
      <c r="I983" s="331">
        <v>1470657</v>
      </c>
      <c r="J983" s="331">
        <v>0</v>
      </c>
      <c r="K983" s="331">
        <f t="shared" si="47"/>
        <v>1470657</v>
      </c>
      <c r="L983" s="199">
        <v>0.98</v>
      </c>
      <c r="M983" s="199">
        <v>1.86</v>
      </c>
    </row>
    <row r="984" spans="1:13" ht="15" customHeight="1" x14ac:dyDescent="0.25">
      <c r="A984" s="49">
        <v>1990</v>
      </c>
      <c r="B984" s="330" t="s">
        <v>29</v>
      </c>
      <c r="C984" s="331">
        <v>49987110711</v>
      </c>
      <c r="D984" s="331">
        <v>25714259744</v>
      </c>
      <c r="E984" s="331">
        <v>258147469</v>
      </c>
      <c r="F984" s="331">
        <v>297935</v>
      </c>
      <c r="G984" s="370">
        <f t="shared" si="45"/>
        <v>5.9602364642059097E-6</v>
      </c>
      <c r="H984" s="370">
        <f t="shared" si="46"/>
        <v>1.1586372812832703E-5</v>
      </c>
      <c r="I984" s="331">
        <v>1513320</v>
      </c>
      <c r="J984" s="331">
        <v>0</v>
      </c>
      <c r="K984" s="331">
        <f t="shared" si="47"/>
        <v>1513320</v>
      </c>
      <c r="L984" s="199">
        <v>1</v>
      </c>
      <c r="M984" s="199">
        <v>1.86</v>
      </c>
    </row>
    <row r="985" spans="1:13" ht="15" customHeight="1" x14ac:dyDescent="0.25">
      <c r="A985" s="49">
        <v>1991</v>
      </c>
      <c r="B985" s="330" t="s">
        <v>29</v>
      </c>
      <c r="C985" s="331">
        <v>50902148075</v>
      </c>
      <c r="D985" s="331">
        <v>25988747746</v>
      </c>
      <c r="E985" s="331">
        <v>263059873</v>
      </c>
      <c r="F985" s="331">
        <v>472812</v>
      </c>
      <c r="G985" s="370">
        <f t="shared" si="45"/>
        <v>9.288645329925009E-6</v>
      </c>
      <c r="H985" s="370">
        <f t="shared" si="46"/>
        <v>1.8192950449979714E-5</v>
      </c>
      <c r="I985" s="331">
        <v>1373719</v>
      </c>
      <c r="J985" s="331">
        <v>0</v>
      </c>
      <c r="K985" s="331">
        <f t="shared" si="47"/>
        <v>1373719</v>
      </c>
      <c r="L985" s="199">
        <v>1.01</v>
      </c>
      <c r="M985" s="199">
        <v>1.86</v>
      </c>
    </row>
    <row r="986" spans="1:13" ht="15" customHeight="1" x14ac:dyDescent="0.25">
      <c r="A986" s="49">
        <v>1992</v>
      </c>
      <c r="B986" s="330" t="s">
        <v>29</v>
      </c>
      <c r="C986" s="331">
        <v>54965421426</v>
      </c>
      <c r="D986" s="331">
        <v>27831992660</v>
      </c>
      <c r="E986" s="331">
        <v>272409900</v>
      </c>
      <c r="F986" s="331">
        <v>362149</v>
      </c>
      <c r="G986" s="370">
        <f t="shared" si="45"/>
        <v>6.5886695781558148E-6</v>
      </c>
      <c r="H986" s="370">
        <f t="shared" si="46"/>
        <v>1.3011968076596928E-5</v>
      </c>
      <c r="I986" s="331">
        <v>1387170</v>
      </c>
      <c r="J986" s="331">
        <v>0</v>
      </c>
      <c r="K986" s="331">
        <f t="shared" si="47"/>
        <v>1387170</v>
      </c>
      <c r="L986" s="199">
        <v>0.98</v>
      </c>
      <c r="M986" s="199">
        <v>1.86</v>
      </c>
    </row>
    <row r="987" spans="1:13" ht="15" customHeight="1" x14ac:dyDescent="0.25">
      <c r="A987" s="49">
        <v>1993</v>
      </c>
      <c r="B987" s="330" t="s">
        <v>29</v>
      </c>
      <c r="C987" s="331">
        <v>58256077232</v>
      </c>
      <c r="D987" s="331">
        <v>29707854495</v>
      </c>
      <c r="E987" s="331">
        <v>276958263</v>
      </c>
      <c r="F987" s="331">
        <v>244942</v>
      </c>
      <c r="G987" s="370">
        <f t="shared" si="45"/>
        <v>4.2045742116232571E-6</v>
      </c>
      <c r="H987" s="370">
        <f t="shared" si="46"/>
        <v>8.2450248987595219E-6</v>
      </c>
      <c r="I987" s="331">
        <v>1514674</v>
      </c>
      <c r="J987" s="331">
        <v>0</v>
      </c>
      <c r="K987" s="331">
        <f t="shared" si="47"/>
        <v>1514674</v>
      </c>
      <c r="L987" s="199">
        <v>0.93</v>
      </c>
      <c r="M987" s="199">
        <v>1.86</v>
      </c>
    </row>
    <row r="988" spans="1:13" ht="15" customHeight="1" x14ac:dyDescent="0.25">
      <c r="A988" s="49">
        <v>1994</v>
      </c>
      <c r="B988" s="330" t="s">
        <v>29</v>
      </c>
      <c r="C988" s="331">
        <v>62495973194</v>
      </c>
      <c r="D988" s="331">
        <v>32394314219</v>
      </c>
      <c r="E988" s="331">
        <v>209972855</v>
      </c>
      <c r="F988" s="331">
        <v>261869</v>
      </c>
      <c r="G988" s="370">
        <f t="shared" si="45"/>
        <v>4.190173968282824E-6</v>
      </c>
      <c r="H988" s="370">
        <f t="shared" si="46"/>
        <v>8.0837951447173376E-6</v>
      </c>
      <c r="I988" s="331">
        <v>1555329</v>
      </c>
      <c r="J988" s="331">
        <v>0</v>
      </c>
      <c r="K988" s="331">
        <f t="shared" si="47"/>
        <v>1555329</v>
      </c>
      <c r="L988" s="199">
        <v>0.65</v>
      </c>
      <c r="M988" s="199">
        <v>1.86</v>
      </c>
    </row>
    <row r="989" spans="1:13" ht="15" customHeight="1" x14ac:dyDescent="0.25">
      <c r="A989" s="49">
        <v>1995</v>
      </c>
      <c r="B989" s="330" t="s">
        <v>29</v>
      </c>
      <c r="C989" s="331">
        <v>67327220103</v>
      </c>
      <c r="D989" s="331">
        <v>30994477549</v>
      </c>
      <c r="E989" s="331">
        <v>190648311</v>
      </c>
      <c r="F989" s="331">
        <v>315503</v>
      </c>
      <c r="G989" s="370">
        <f t="shared" si="45"/>
        <v>4.6861135736382748E-6</v>
      </c>
      <c r="H989" s="370">
        <f t="shared" si="46"/>
        <v>1.0179329511239958E-5</v>
      </c>
      <c r="I989" s="331">
        <v>1531117</v>
      </c>
      <c r="J989" s="331">
        <v>0</v>
      </c>
      <c r="K989" s="331">
        <f t="shared" si="47"/>
        <v>1531117</v>
      </c>
      <c r="L989" s="199">
        <v>0.62</v>
      </c>
      <c r="M989" s="199">
        <v>1.41</v>
      </c>
    </row>
    <row r="990" spans="1:13" ht="15" customHeight="1" x14ac:dyDescent="0.25">
      <c r="A990" s="49">
        <v>1996</v>
      </c>
      <c r="B990" s="330" t="s">
        <v>29</v>
      </c>
      <c r="C990" s="331">
        <v>72138353836</v>
      </c>
      <c r="D990" s="331">
        <v>32808214857</v>
      </c>
      <c r="E990" s="331">
        <v>73287688</v>
      </c>
      <c r="F990" s="331">
        <v>381767</v>
      </c>
      <c r="G990" s="370">
        <f t="shared" si="45"/>
        <v>5.2921501489750187E-6</v>
      </c>
      <c r="H990" s="370">
        <f t="shared" si="46"/>
        <v>1.1636323453256883E-5</v>
      </c>
      <c r="I990" s="331">
        <v>1335565</v>
      </c>
      <c r="J990" s="331">
        <v>0</v>
      </c>
      <c r="K990" s="331">
        <f t="shared" si="47"/>
        <v>1335565</v>
      </c>
      <c r="L990" s="199">
        <v>0.22</v>
      </c>
      <c r="M990" s="199">
        <v>1.32</v>
      </c>
    </row>
    <row r="991" spans="1:13" ht="15" customHeight="1" x14ac:dyDescent="0.25">
      <c r="A991" s="49">
        <v>1997</v>
      </c>
      <c r="B991" s="330" t="s">
        <v>29</v>
      </c>
      <c r="C991" s="331">
        <v>78542626534</v>
      </c>
      <c r="D991" s="331">
        <v>35216148466</v>
      </c>
      <c r="E991" s="331">
        <v>241163557</v>
      </c>
      <c r="F991" s="331">
        <v>346357</v>
      </c>
      <c r="G991" s="370">
        <f t="shared" si="45"/>
        <v>4.4097965052144891E-6</v>
      </c>
      <c r="H991" s="370">
        <f t="shared" si="46"/>
        <v>9.8351754830428425E-6</v>
      </c>
      <c r="I991" s="331">
        <v>1301184</v>
      </c>
      <c r="J991" s="331">
        <v>0</v>
      </c>
      <c r="K991" s="331">
        <f t="shared" si="47"/>
        <v>1301184</v>
      </c>
      <c r="L991" s="199">
        <v>0.68</v>
      </c>
      <c r="M991" s="199">
        <v>1.32</v>
      </c>
    </row>
    <row r="992" spans="1:13" ht="15" customHeight="1" x14ac:dyDescent="0.25">
      <c r="A992" s="49">
        <v>1998</v>
      </c>
      <c r="B992" s="330" t="s">
        <v>29</v>
      </c>
      <c r="C992" s="331">
        <v>85063430891</v>
      </c>
      <c r="D992" s="331">
        <v>37729927572</v>
      </c>
      <c r="E992" s="331">
        <v>298592290</v>
      </c>
      <c r="F992" s="331">
        <v>378427</v>
      </c>
      <c r="G992" s="370">
        <f t="shared" si="45"/>
        <v>4.4487624827279204E-6</v>
      </c>
      <c r="H992" s="370">
        <f t="shared" si="46"/>
        <v>1.0029889383642415E-5</v>
      </c>
      <c r="I992" s="331">
        <v>1293505</v>
      </c>
      <c r="J992" s="331">
        <v>0</v>
      </c>
      <c r="K992" s="331">
        <f t="shared" si="47"/>
        <v>1293505</v>
      </c>
      <c r="L992" s="199">
        <v>0.79</v>
      </c>
      <c r="M992" s="199">
        <v>1.32</v>
      </c>
    </row>
    <row r="993" spans="1:13" ht="15" customHeight="1" x14ac:dyDescent="0.25">
      <c r="A993" s="49">
        <v>1999</v>
      </c>
      <c r="B993" s="330" t="s">
        <v>29</v>
      </c>
      <c r="C993" s="331">
        <v>91495770481</v>
      </c>
      <c r="D993" s="331">
        <v>40620712803</v>
      </c>
      <c r="E993" s="331">
        <v>320665594</v>
      </c>
      <c r="F993" s="331">
        <v>415731</v>
      </c>
      <c r="G993" s="370">
        <f t="shared" si="45"/>
        <v>4.5437182266947593E-6</v>
      </c>
      <c r="H993" s="370">
        <f t="shared" si="46"/>
        <v>1.0234458514211415E-5</v>
      </c>
      <c r="I993" s="331">
        <v>1275856</v>
      </c>
      <c r="J993" s="331">
        <v>0</v>
      </c>
      <c r="K993" s="331">
        <f t="shared" si="47"/>
        <v>1275856</v>
      </c>
      <c r="L993" s="199">
        <v>0.79</v>
      </c>
      <c r="M993" s="199">
        <v>1.32</v>
      </c>
    </row>
    <row r="994" spans="1:13" ht="15" customHeight="1" x14ac:dyDescent="0.25">
      <c r="A994" s="49">
        <v>2000</v>
      </c>
      <c r="B994" s="330" t="s">
        <v>29</v>
      </c>
      <c r="C994" s="331">
        <v>97594210777</v>
      </c>
      <c r="D994" s="331">
        <v>43261346466</v>
      </c>
      <c r="E994" s="331">
        <v>278088161</v>
      </c>
      <c r="F994" s="331">
        <v>477408</v>
      </c>
      <c r="G994" s="370">
        <f t="shared" si="45"/>
        <v>4.8917655688703068E-6</v>
      </c>
      <c r="H994" s="370">
        <f t="shared" si="46"/>
        <v>1.1035440156149669E-5</v>
      </c>
      <c r="I994" s="331">
        <v>1174664</v>
      </c>
      <c r="J994" s="331">
        <v>0</v>
      </c>
      <c r="K994" s="331">
        <f t="shared" si="47"/>
        <v>1174664</v>
      </c>
      <c r="L994" s="199">
        <v>0.64</v>
      </c>
      <c r="M994" s="199">
        <v>1.32</v>
      </c>
    </row>
    <row r="995" spans="1:13" ht="15" customHeight="1" x14ac:dyDescent="0.25">
      <c r="A995" s="49">
        <v>2001</v>
      </c>
      <c r="B995" s="330" t="s">
        <v>29</v>
      </c>
      <c r="C995" s="331">
        <v>98312026941</v>
      </c>
      <c r="D995" s="331">
        <v>43942912781</v>
      </c>
      <c r="E995" s="331">
        <v>304759519</v>
      </c>
      <c r="F995" s="331">
        <v>918969</v>
      </c>
      <c r="G995" s="370">
        <f t="shared" si="45"/>
        <v>9.3474728229487207E-6</v>
      </c>
      <c r="H995" s="370">
        <f t="shared" si="46"/>
        <v>2.0912792116897244E-5</v>
      </c>
      <c r="I995" s="331">
        <v>626318</v>
      </c>
      <c r="J995" s="331">
        <v>0</v>
      </c>
      <c r="K995" s="331">
        <f t="shared" si="47"/>
        <v>626318</v>
      </c>
      <c r="L995" s="199">
        <v>0.69</v>
      </c>
      <c r="M995" s="199">
        <v>1.31</v>
      </c>
    </row>
    <row r="996" spans="1:13" ht="15" customHeight="1" x14ac:dyDescent="0.25">
      <c r="A996" s="49">
        <v>2002</v>
      </c>
      <c r="B996" s="330" t="s">
        <v>29</v>
      </c>
      <c r="C996" s="331">
        <v>98112428869</v>
      </c>
      <c r="D996" s="331">
        <v>44284240993</v>
      </c>
      <c r="E996" s="331">
        <v>386711324</v>
      </c>
      <c r="F996" s="331">
        <v>1066002</v>
      </c>
      <c r="G996" s="370">
        <f t="shared" si="45"/>
        <v>1.0865106615832831E-5</v>
      </c>
      <c r="H996" s="370">
        <f t="shared" si="46"/>
        <v>2.4071813721917525E-5</v>
      </c>
      <c r="I996" s="331">
        <v>188529</v>
      </c>
      <c r="J996" s="331">
        <v>0</v>
      </c>
      <c r="K996" s="331">
        <f t="shared" si="47"/>
        <v>188529</v>
      </c>
      <c r="L996" s="199">
        <v>0.87</v>
      </c>
      <c r="M996" s="199">
        <v>1.34</v>
      </c>
    </row>
    <row r="997" spans="1:13" ht="15" customHeight="1" x14ac:dyDescent="0.25">
      <c r="A997" s="49">
        <v>2003</v>
      </c>
      <c r="B997" s="330" t="s">
        <v>29</v>
      </c>
      <c r="C997" s="331">
        <v>99042024660</v>
      </c>
      <c r="D997" s="331">
        <v>44563995491</v>
      </c>
      <c r="E997" s="331">
        <v>744857517</v>
      </c>
      <c r="F997" s="331">
        <v>922214</v>
      </c>
      <c r="G997" s="370">
        <f t="shared" si="45"/>
        <v>9.3113403443220774E-6</v>
      </c>
      <c r="H997" s="370">
        <f t="shared" si="46"/>
        <v>2.0694149836413285E-5</v>
      </c>
      <c r="I997" s="331">
        <v>10412</v>
      </c>
      <c r="J997" s="331">
        <v>0</v>
      </c>
      <c r="K997" s="331">
        <f t="shared" si="47"/>
        <v>10412</v>
      </c>
      <c r="L997" s="199">
        <v>1.67</v>
      </c>
      <c r="M997" s="199">
        <v>1.34</v>
      </c>
    </row>
    <row r="998" spans="1:13" ht="15" customHeight="1" x14ac:dyDescent="0.25">
      <c r="A998" s="49">
        <v>2004</v>
      </c>
      <c r="B998" s="330" t="s">
        <v>29</v>
      </c>
      <c r="C998" s="331">
        <v>104427134771</v>
      </c>
      <c r="D998" s="331">
        <v>46095604855</v>
      </c>
      <c r="E998" s="331">
        <v>795465602</v>
      </c>
      <c r="F998" s="331">
        <v>825978</v>
      </c>
      <c r="G998" s="370">
        <f t="shared" si="45"/>
        <v>7.9096108670538639E-6</v>
      </c>
      <c r="H998" s="370">
        <f t="shared" si="46"/>
        <v>1.791880164276456E-5</v>
      </c>
      <c r="I998" s="331">
        <v>17037</v>
      </c>
      <c r="J998" s="331">
        <v>0</v>
      </c>
      <c r="K998" s="331">
        <f t="shared" si="47"/>
        <v>17037</v>
      </c>
      <c r="L998" s="199">
        <v>1.73</v>
      </c>
      <c r="M998" s="199">
        <v>1.34</v>
      </c>
    </row>
    <row r="999" spans="1:13" ht="15" customHeight="1" x14ac:dyDescent="0.25">
      <c r="A999" s="49">
        <v>2005</v>
      </c>
      <c r="B999" s="330" t="s">
        <v>29</v>
      </c>
      <c r="C999" s="331">
        <v>109758370188</v>
      </c>
      <c r="D999" s="331">
        <v>48558869740</v>
      </c>
      <c r="E999" s="331">
        <v>1002447662</v>
      </c>
      <c r="F999" s="331">
        <v>665624</v>
      </c>
      <c r="G999" s="370">
        <f t="shared" si="45"/>
        <v>6.0644486507943187E-6</v>
      </c>
      <c r="H999" s="370">
        <f t="shared" si="46"/>
        <v>1.3707567815395368E-5</v>
      </c>
      <c r="I999" s="331">
        <v>43286</v>
      </c>
      <c r="J999" s="331">
        <v>0</v>
      </c>
      <c r="K999" s="331">
        <f t="shared" si="47"/>
        <v>43286</v>
      </c>
      <c r="L999" s="199">
        <v>2.0699999999999998</v>
      </c>
      <c r="M999" s="199">
        <v>1.34</v>
      </c>
    </row>
    <row r="1000" spans="1:13" ht="15" customHeight="1" x14ac:dyDescent="0.25">
      <c r="A1000" s="49">
        <v>2006</v>
      </c>
      <c r="B1000" s="330" t="s">
        <v>29</v>
      </c>
      <c r="C1000" s="331">
        <v>118168439444</v>
      </c>
      <c r="D1000" s="331">
        <v>51249201798</v>
      </c>
      <c r="E1000" s="331">
        <v>1010238673</v>
      </c>
      <c r="F1000" s="331">
        <v>692346</v>
      </c>
      <c r="G1000" s="370">
        <f t="shared" si="45"/>
        <v>5.8589755712912046E-6</v>
      </c>
      <c r="H1000" s="370">
        <f t="shared" si="46"/>
        <v>1.3509400648402271E-5</v>
      </c>
      <c r="I1000" s="331">
        <v>186570</v>
      </c>
      <c r="J1000" s="331">
        <v>0</v>
      </c>
      <c r="K1000" s="331">
        <f t="shared" si="47"/>
        <v>186570</v>
      </c>
      <c r="L1000" s="199">
        <v>1.97</v>
      </c>
      <c r="M1000" s="199">
        <v>1.34</v>
      </c>
    </row>
    <row r="1001" spans="1:13" ht="15" customHeight="1" x14ac:dyDescent="0.25">
      <c r="A1001" s="49">
        <v>2007</v>
      </c>
      <c r="B1001" s="330" t="s">
        <v>29</v>
      </c>
      <c r="C1001" s="331">
        <v>125697674308</v>
      </c>
      <c r="D1001" s="331">
        <v>54289834643</v>
      </c>
      <c r="E1001" s="331">
        <v>1018845850</v>
      </c>
      <c r="F1001" s="331">
        <v>689718</v>
      </c>
      <c r="G1001" s="370">
        <f t="shared" si="45"/>
        <v>5.4871182286950481E-6</v>
      </c>
      <c r="H1001" s="370">
        <f t="shared" si="46"/>
        <v>1.2704367300719539E-5</v>
      </c>
      <c r="I1001" s="331">
        <v>394426</v>
      </c>
      <c r="J1001" s="331">
        <v>0</v>
      </c>
      <c r="K1001" s="331">
        <f t="shared" si="47"/>
        <v>394426</v>
      </c>
      <c r="L1001" s="199">
        <v>1.88</v>
      </c>
      <c r="M1001" s="199">
        <v>1.34</v>
      </c>
    </row>
    <row r="1002" spans="1:13" ht="15" customHeight="1" x14ac:dyDescent="0.25">
      <c r="A1002" s="49">
        <v>2008</v>
      </c>
      <c r="B1002" s="330" t="s">
        <v>29</v>
      </c>
      <c r="C1002" s="331">
        <v>126672319441</v>
      </c>
      <c r="D1002" s="331">
        <v>55386157579</v>
      </c>
      <c r="E1002" s="331">
        <v>997067624</v>
      </c>
      <c r="F1002" s="331">
        <v>1022205</v>
      </c>
      <c r="G1002" s="370">
        <f t="shared" si="45"/>
        <v>8.0696793467661348E-6</v>
      </c>
      <c r="H1002" s="370">
        <f t="shared" si="46"/>
        <v>1.8455965257058655E-5</v>
      </c>
      <c r="I1002" s="331">
        <v>190695</v>
      </c>
      <c r="J1002" s="331">
        <v>0</v>
      </c>
      <c r="K1002" s="331">
        <f t="shared" si="47"/>
        <v>190695</v>
      </c>
      <c r="L1002" s="199">
        <v>1.8</v>
      </c>
      <c r="M1002" s="199">
        <v>1.34</v>
      </c>
    </row>
    <row r="1003" spans="1:13" ht="15" customHeight="1" x14ac:dyDescent="0.25">
      <c r="A1003" s="49">
        <v>2009</v>
      </c>
      <c r="B1003" s="330" t="s">
        <v>29</v>
      </c>
      <c r="C1003" s="331">
        <v>117278244861</v>
      </c>
      <c r="D1003" s="331">
        <v>52388366733</v>
      </c>
      <c r="E1003" s="331">
        <v>888263579</v>
      </c>
      <c r="F1003" s="331">
        <v>2487117</v>
      </c>
      <c r="G1003" s="370">
        <f t="shared" si="45"/>
        <v>2.1206976647269659E-5</v>
      </c>
      <c r="H1003" s="370">
        <f t="shared" si="46"/>
        <v>4.7474604670836933E-5</v>
      </c>
      <c r="I1003" s="331">
        <v>19245</v>
      </c>
      <c r="J1003" s="331">
        <v>1606700</v>
      </c>
      <c r="K1003" s="331">
        <f t="shared" si="47"/>
        <v>-1587455</v>
      </c>
      <c r="L1003" s="199">
        <v>1.7</v>
      </c>
      <c r="M1003" s="199">
        <v>1.39</v>
      </c>
    </row>
    <row r="1004" spans="1:13" ht="15" customHeight="1" x14ac:dyDescent="0.25">
      <c r="A1004" s="49">
        <v>2010</v>
      </c>
      <c r="B1004" s="330" t="s">
        <v>29</v>
      </c>
      <c r="C1004" s="331">
        <v>119740419739</v>
      </c>
      <c r="D1004" s="331">
        <v>52598993252</v>
      </c>
      <c r="E1004" s="331">
        <v>919578754</v>
      </c>
      <c r="F1004" s="331">
        <v>1716853</v>
      </c>
      <c r="G1004" s="370">
        <f t="shared" si="45"/>
        <v>1.4338124116670464E-5</v>
      </c>
      <c r="H1004" s="370">
        <f t="shared" si="46"/>
        <v>3.2640415602150695E-5</v>
      </c>
      <c r="I1004" s="331">
        <v>225658</v>
      </c>
      <c r="J1004" s="331">
        <v>2508604</v>
      </c>
      <c r="K1004" s="331">
        <f t="shared" si="47"/>
        <v>-2282946</v>
      </c>
      <c r="L1004" s="199">
        <v>1.7</v>
      </c>
      <c r="M1004" s="199">
        <v>1.56</v>
      </c>
    </row>
    <row r="1005" spans="1:13" ht="15" customHeight="1" x14ac:dyDescent="0.25">
      <c r="A1005" s="49">
        <v>2011</v>
      </c>
      <c r="B1005" s="330" t="s">
        <v>29</v>
      </c>
      <c r="C1005" s="331">
        <v>125105131322</v>
      </c>
      <c r="D1005" s="331">
        <v>53984070157</v>
      </c>
      <c r="E1005" s="331">
        <v>1198477549</v>
      </c>
      <c r="F1005" s="331">
        <v>1316141</v>
      </c>
      <c r="G1005" s="370">
        <f t="shared" si="45"/>
        <v>1.0520279912519894E-5</v>
      </c>
      <c r="H1005" s="370">
        <f t="shared" si="46"/>
        <v>2.4380173561799116E-5</v>
      </c>
      <c r="I1005" s="331">
        <v>225767</v>
      </c>
      <c r="J1005" s="331">
        <v>2670478</v>
      </c>
      <c r="K1005" s="331">
        <f t="shared" si="47"/>
        <v>-2444711</v>
      </c>
      <c r="L1005" s="199">
        <v>2.2000000000000002</v>
      </c>
      <c r="M1005" s="199">
        <v>1.56</v>
      </c>
    </row>
    <row r="1006" spans="1:13" ht="15" customHeight="1" x14ac:dyDescent="0.25">
      <c r="A1006" s="49">
        <v>2012</v>
      </c>
      <c r="B1006" s="330" t="s">
        <v>29</v>
      </c>
      <c r="C1006" s="331">
        <v>130781514053</v>
      </c>
      <c r="D1006" s="331">
        <v>56786752654</v>
      </c>
      <c r="E1006" s="331">
        <v>1340560925</v>
      </c>
      <c r="F1006" s="331">
        <v>1222950</v>
      </c>
      <c r="G1006" s="370">
        <f t="shared" si="45"/>
        <v>9.3510922308514647E-6</v>
      </c>
      <c r="H1006" s="370">
        <f t="shared" si="46"/>
        <v>2.153583261665618E-5</v>
      </c>
      <c r="I1006" s="331">
        <v>225558</v>
      </c>
      <c r="J1006" s="331">
        <v>2546248</v>
      </c>
      <c r="K1006" s="331">
        <f t="shared" si="47"/>
        <v>-2320690</v>
      </c>
      <c r="L1006" s="199">
        <v>2.36</v>
      </c>
      <c r="M1006" s="199">
        <v>1.56</v>
      </c>
    </row>
    <row r="1007" spans="1:13" ht="15" customHeight="1" x14ac:dyDescent="0.25">
      <c r="A1007" s="49">
        <v>2013</v>
      </c>
      <c r="B1007" s="330" t="s">
        <v>29</v>
      </c>
      <c r="C1007" s="331">
        <v>148101614361</v>
      </c>
      <c r="D1007" s="331">
        <v>62068425201</v>
      </c>
      <c r="E1007" s="331">
        <v>1429463520</v>
      </c>
      <c r="F1007" s="331">
        <v>862041</v>
      </c>
      <c r="G1007" s="370">
        <f t="shared" si="45"/>
        <v>5.8206050198667082E-6</v>
      </c>
      <c r="H1007" s="370">
        <f t="shared" si="46"/>
        <v>1.3888559234560883E-5</v>
      </c>
      <c r="I1007" s="331">
        <v>222385</v>
      </c>
      <c r="J1007" s="331">
        <v>1833395</v>
      </c>
      <c r="K1007" s="331">
        <f t="shared" si="47"/>
        <v>-1611010</v>
      </c>
      <c r="L1007" s="199">
        <v>2.2999999999999998</v>
      </c>
      <c r="M1007" s="199">
        <v>1.56</v>
      </c>
    </row>
    <row r="1008" spans="1:13" ht="15" customHeight="1" x14ac:dyDescent="0.25">
      <c r="A1008" s="49">
        <v>2014</v>
      </c>
      <c r="B1008" s="330" t="s">
        <v>29</v>
      </c>
      <c r="C1008" s="331">
        <v>158392612835</v>
      </c>
      <c r="D1008" s="331">
        <v>73280392689</v>
      </c>
      <c r="E1008" s="331">
        <v>1613756167</v>
      </c>
      <c r="F1008" s="331">
        <v>448061</v>
      </c>
      <c r="G1008" s="370">
        <f t="shared" si="45"/>
        <v>2.8287998536065062E-6</v>
      </c>
      <c r="H1008" s="370">
        <f t="shared" si="46"/>
        <v>6.1143367762992039E-6</v>
      </c>
      <c r="I1008" s="331">
        <v>217880</v>
      </c>
      <c r="J1008" s="331">
        <v>435204</v>
      </c>
      <c r="K1008" s="331">
        <f t="shared" si="47"/>
        <v>-217324</v>
      </c>
      <c r="L1008" s="333">
        <v>2.2021663746382165</v>
      </c>
      <c r="M1008" s="199">
        <v>1.56</v>
      </c>
    </row>
    <row r="1009" spans="1:13" ht="15" customHeight="1" x14ac:dyDescent="0.25">
      <c r="A1009" s="49">
        <v>2015</v>
      </c>
      <c r="B1009" s="330" t="s">
        <v>29</v>
      </c>
      <c r="C1009" s="334">
        <v>153425579000</v>
      </c>
      <c r="D1009" s="334">
        <v>66371600000</v>
      </c>
      <c r="E1009" s="334">
        <v>1501445000</v>
      </c>
      <c r="F1009" s="331">
        <v>266439</v>
      </c>
      <c r="G1009" s="370">
        <f t="shared" si="45"/>
        <v>1.7366009092916638E-6</v>
      </c>
      <c r="H1009" s="370">
        <f t="shared" si="46"/>
        <v>4.0143525242724297E-6</v>
      </c>
      <c r="I1009" s="331">
        <v>1362916</v>
      </c>
      <c r="J1009" s="199">
        <v>0</v>
      </c>
      <c r="K1009" s="331">
        <f t="shared" si="47"/>
        <v>1362916</v>
      </c>
      <c r="L1009" s="199">
        <v>2.2999999999999998</v>
      </c>
      <c r="M1009" s="199">
        <v>1.55</v>
      </c>
    </row>
    <row r="1010" spans="1:13" ht="15" customHeight="1" x14ac:dyDescent="0.25">
      <c r="A1010" s="49">
        <v>1980</v>
      </c>
      <c r="B1010" s="330" t="s">
        <v>30</v>
      </c>
      <c r="C1010" s="331">
        <v>2020434453</v>
      </c>
      <c r="D1010" s="331">
        <v>1115525694</v>
      </c>
      <c r="E1010" s="331">
        <v>27276055</v>
      </c>
      <c r="F1010" s="331">
        <v>32424</v>
      </c>
      <c r="G1010" s="370">
        <f t="shared" si="45"/>
        <v>1.6048033605770235E-5</v>
      </c>
      <c r="H1010" s="370">
        <f t="shared" si="46"/>
        <v>2.9066116696725768E-5</v>
      </c>
      <c r="I1010" s="331">
        <v>18010</v>
      </c>
      <c r="J1010" s="331">
        <v>0</v>
      </c>
      <c r="K1010" s="331">
        <f t="shared" si="47"/>
        <v>18010</v>
      </c>
      <c r="L1010" s="199">
        <v>2.4500000000000002</v>
      </c>
      <c r="M1010" s="199">
        <v>1.72</v>
      </c>
    </row>
    <row r="1011" spans="1:13" ht="15" customHeight="1" x14ac:dyDescent="0.25">
      <c r="A1011" s="49">
        <v>1981</v>
      </c>
      <c r="B1011" s="330" t="s">
        <v>30</v>
      </c>
      <c r="C1011" s="331">
        <v>2306372412</v>
      </c>
      <c r="D1011" s="331">
        <v>1275578897</v>
      </c>
      <c r="E1011" s="331">
        <v>33088536</v>
      </c>
      <c r="F1011" s="331">
        <v>32605</v>
      </c>
      <c r="G1011" s="370">
        <f t="shared" si="45"/>
        <v>1.4136919012019469E-5</v>
      </c>
      <c r="H1011" s="370">
        <f t="shared" si="46"/>
        <v>2.5560943409053592E-5</v>
      </c>
      <c r="I1011" s="331">
        <v>18335</v>
      </c>
      <c r="J1011" s="331">
        <v>0</v>
      </c>
      <c r="K1011" s="331">
        <f t="shared" si="47"/>
        <v>18335</v>
      </c>
      <c r="L1011" s="199">
        <v>2.59</v>
      </c>
      <c r="M1011" s="199">
        <v>1.63</v>
      </c>
    </row>
    <row r="1012" spans="1:13" ht="15" customHeight="1" x14ac:dyDescent="0.25">
      <c r="A1012" s="49">
        <v>1982</v>
      </c>
      <c r="B1012" s="330" t="s">
        <v>30</v>
      </c>
      <c r="C1012" s="331">
        <v>2436498874</v>
      </c>
      <c r="D1012" s="331">
        <v>1369832095</v>
      </c>
      <c r="E1012" s="331">
        <v>36358653</v>
      </c>
      <c r="F1012" s="331">
        <v>45655</v>
      </c>
      <c r="G1012" s="370">
        <f t="shared" si="45"/>
        <v>1.8737952431329544E-5</v>
      </c>
      <c r="H1012" s="370">
        <f t="shared" si="46"/>
        <v>3.3328902254987679E-5</v>
      </c>
      <c r="I1012" s="331">
        <v>11304</v>
      </c>
      <c r="J1012" s="331">
        <v>0</v>
      </c>
      <c r="K1012" s="331">
        <f t="shared" si="47"/>
        <v>11304</v>
      </c>
      <c r="L1012" s="199">
        <v>2.65</v>
      </c>
      <c r="M1012" s="199">
        <v>1.73</v>
      </c>
    </row>
    <row r="1013" spans="1:13" ht="15" customHeight="1" x14ac:dyDescent="0.25">
      <c r="A1013" s="49">
        <v>1983</v>
      </c>
      <c r="B1013" s="330" t="s">
        <v>30</v>
      </c>
      <c r="C1013" s="331">
        <v>2497682377</v>
      </c>
      <c r="D1013" s="331">
        <v>1441146238</v>
      </c>
      <c r="E1013" s="331">
        <v>51827821</v>
      </c>
      <c r="F1013" s="331">
        <v>55953</v>
      </c>
      <c r="G1013" s="370">
        <f t="shared" si="45"/>
        <v>2.2401967726259056E-5</v>
      </c>
      <c r="H1013" s="370">
        <f t="shared" si="46"/>
        <v>3.8825345079241015E-5</v>
      </c>
      <c r="I1013" s="331">
        <v>2614</v>
      </c>
      <c r="J1013" s="331">
        <v>0</v>
      </c>
      <c r="K1013" s="331">
        <f t="shared" si="47"/>
        <v>2614</v>
      </c>
      <c r="L1013" s="199">
        <v>3.6</v>
      </c>
      <c r="M1013" s="199">
        <v>1.96</v>
      </c>
    </row>
    <row r="1014" spans="1:13" ht="15" customHeight="1" x14ac:dyDescent="0.25">
      <c r="A1014" s="49">
        <v>1984</v>
      </c>
      <c r="B1014" s="330" t="s">
        <v>30</v>
      </c>
      <c r="C1014" s="331">
        <v>2533866120</v>
      </c>
      <c r="D1014" s="331">
        <v>1451197677</v>
      </c>
      <c r="E1014" s="331">
        <v>51317501</v>
      </c>
      <c r="F1014" s="331">
        <v>49907</v>
      </c>
      <c r="G1014" s="370">
        <f t="shared" si="45"/>
        <v>1.9695989305070309E-5</v>
      </c>
      <c r="H1014" s="370">
        <f t="shared" si="46"/>
        <v>3.439021491763317E-5</v>
      </c>
      <c r="I1014" s="331">
        <v>4617</v>
      </c>
      <c r="J1014" s="331">
        <v>0</v>
      </c>
      <c r="K1014" s="331">
        <f t="shared" si="47"/>
        <v>4617</v>
      </c>
      <c r="L1014" s="199">
        <v>3.54</v>
      </c>
      <c r="M1014" s="199">
        <v>2.06</v>
      </c>
    </row>
    <row r="1015" spans="1:13" ht="15" customHeight="1" x14ac:dyDescent="0.25">
      <c r="A1015" s="49">
        <v>1985</v>
      </c>
      <c r="B1015" s="330" t="s">
        <v>30</v>
      </c>
      <c r="C1015" s="331">
        <v>2528649261</v>
      </c>
      <c r="D1015" s="331">
        <v>1437312717</v>
      </c>
      <c r="E1015" s="331">
        <v>44511732</v>
      </c>
      <c r="F1015" s="331">
        <v>47092</v>
      </c>
      <c r="G1015" s="370">
        <f t="shared" si="45"/>
        <v>1.8623381552480164E-5</v>
      </c>
      <c r="H1015" s="370">
        <f t="shared" si="46"/>
        <v>3.2763920782870243E-5</v>
      </c>
      <c r="I1015" s="331">
        <v>3436</v>
      </c>
      <c r="J1015" s="331">
        <v>0</v>
      </c>
      <c r="K1015" s="331">
        <f t="shared" si="47"/>
        <v>3436</v>
      </c>
      <c r="L1015" s="199">
        <v>3.1</v>
      </c>
      <c r="M1015" s="199">
        <v>2.06</v>
      </c>
    </row>
    <row r="1016" spans="1:13" x14ac:dyDescent="0.25">
      <c r="A1016" s="49">
        <v>1986</v>
      </c>
      <c r="B1016" s="330" t="s">
        <v>30</v>
      </c>
      <c r="C1016" s="331">
        <v>2487793958</v>
      </c>
      <c r="D1016" s="331">
        <v>1411116033</v>
      </c>
      <c r="E1016" s="331">
        <v>40364947</v>
      </c>
      <c r="F1016" s="331">
        <v>49902</v>
      </c>
      <c r="G1016" s="370">
        <f t="shared" si="45"/>
        <v>2.0058735105264695E-5</v>
      </c>
      <c r="H1016" s="370">
        <f t="shared" si="46"/>
        <v>3.5363498701031344E-5</v>
      </c>
      <c r="I1016" s="331">
        <v>0</v>
      </c>
      <c r="J1016" s="331">
        <v>5501</v>
      </c>
      <c r="K1016" s="331">
        <f t="shared" si="47"/>
        <v>-5501</v>
      </c>
      <c r="L1016" s="199">
        <v>2.86</v>
      </c>
      <c r="M1016" s="199">
        <v>2.11</v>
      </c>
    </row>
    <row r="1017" spans="1:13" ht="15" customHeight="1" x14ac:dyDescent="0.25">
      <c r="A1017" s="49">
        <v>1987</v>
      </c>
      <c r="B1017" s="330" t="s">
        <v>30</v>
      </c>
      <c r="C1017" s="331">
        <v>2573908365</v>
      </c>
      <c r="D1017" s="331">
        <v>1422783741</v>
      </c>
      <c r="E1017" s="331">
        <v>59265372</v>
      </c>
      <c r="F1017" s="331">
        <v>36019</v>
      </c>
      <c r="G1017" s="370">
        <f t="shared" si="45"/>
        <v>1.3993893679272455E-5</v>
      </c>
      <c r="H1017" s="370">
        <f t="shared" si="46"/>
        <v>2.531586421888975E-5</v>
      </c>
      <c r="I1017" s="331">
        <v>14999</v>
      </c>
      <c r="J1017" s="331">
        <v>0</v>
      </c>
      <c r="K1017" s="331">
        <f t="shared" si="47"/>
        <v>14999</v>
      </c>
      <c r="L1017" s="199">
        <v>4.17</v>
      </c>
      <c r="M1017" s="199">
        <v>2.11</v>
      </c>
    </row>
    <row r="1018" spans="1:13" ht="15" customHeight="1" x14ac:dyDescent="0.25">
      <c r="A1018" s="49">
        <v>1988</v>
      </c>
      <c r="B1018" s="330" t="s">
        <v>30</v>
      </c>
      <c r="C1018" s="331">
        <v>2686739544</v>
      </c>
      <c r="D1018" s="331">
        <v>1472302860</v>
      </c>
      <c r="E1018" s="331">
        <v>40570888</v>
      </c>
      <c r="F1018" s="331">
        <v>27958</v>
      </c>
      <c r="G1018" s="370">
        <f t="shared" si="45"/>
        <v>1.0405921207522898E-5</v>
      </c>
      <c r="H1018" s="370">
        <f t="shared" si="46"/>
        <v>1.8989299524963226E-5</v>
      </c>
      <c r="I1018" s="331">
        <v>33076</v>
      </c>
      <c r="J1018" s="331">
        <v>0</v>
      </c>
      <c r="K1018" s="331">
        <f t="shared" si="47"/>
        <v>33076</v>
      </c>
      <c r="L1018" s="199">
        <v>2.76</v>
      </c>
      <c r="M1018" s="199">
        <v>2.11</v>
      </c>
    </row>
    <row r="1019" spans="1:13" ht="15" customHeight="1" x14ac:dyDescent="0.25">
      <c r="A1019" s="49">
        <v>1989</v>
      </c>
      <c r="B1019" s="330" t="s">
        <v>30</v>
      </c>
      <c r="C1019" s="331">
        <v>2783188639</v>
      </c>
      <c r="D1019" s="331">
        <v>1512681424</v>
      </c>
      <c r="E1019" s="331">
        <v>34417501</v>
      </c>
      <c r="F1019" s="331">
        <v>26374</v>
      </c>
      <c r="G1019" s="370">
        <f t="shared" si="45"/>
        <v>9.4761812513995385E-6</v>
      </c>
      <c r="H1019" s="370">
        <f t="shared" si="46"/>
        <v>1.7435264016304863E-5</v>
      </c>
      <c r="I1019" s="331">
        <v>45370</v>
      </c>
      <c r="J1019" s="331">
        <v>0</v>
      </c>
      <c r="K1019" s="331">
        <f t="shared" si="47"/>
        <v>45370</v>
      </c>
      <c r="L1019" s="199">
        <v>2.2799999999999998</v>
      </c>
      <c r="M1019" s="199">
        <v>2.11</v>
      </c>
    </row>
    <row r="1020" spans="1:13" ht="15" customHeight="1" x14ac:dyDescent="0.25">
      <c r="A1020" s="49">
        <v>1990</v>
      </c>
      <c r="B1020" s="330" t="s">
        <v>30</v>
      </c>
      <c r="C1020" s="331">
        <v>2966950323</v>
      </c>
      <c r="D1020" s="331">
        <v>1601643301</v>
      </c>
      <c r="E1020" s="331">
        <v>25905798</v>
      </c>
      <c r="F1020" s="331">
        <v>22970</v>
      </c>
      <c r="G1020" s="370">
        <f t="shared" si="45"/>
        <v>7.7419563859681106E-6</v>
      </c>
      <c r="H1020" s="370">
        <f t="shared" si="46"/>
        <v>1.43415203532887E-5</v>
      </c>
      <c r="I1020" s="331">
        <v>53732</v>
      </c>
      <c r="J1020" s="331">
        <v>0</v>
      </c>
      <c r="K1020" s="331">
        <f t="shared" si="47"/>
        <v>53732</v>
      </c>
      <c r="L1020" s="199">
        <v>1.62</v>
      </c>
      <c r="M1020" s="199">
        <v>2.11</v>
      </c>
    </row>
    <row r="1021" spans="1:13" ht="15" customHeight="1" x14ac:dyDescent="0.25">
      <c r="A1021" s="49">
        <v>1991</v>
      </c>
      <c r="B1021" s="330" t="s">
        <v>30</v>
      </c>
      <c r="C1021" s="331">
        <v>3100061017</v>
      </c>
      <c r="D1021" s="331">
        <v>1675277920</v>
      </c>
      <c r="E1021" s="331">
        <v>20250450</v>
      </c>
      <c r="F1021" s="331">
        <v>28364</v>
      </c>
      <c r="G1021" s="370">
        <f t="shared" si="45"/>
        <v>9.1494973306843133E-6</v>
      </c>
      <c r="H1021" s="370">
        <f t="shared" si="46"/>
        <v>1.6930922124252673E-5</v>
      </c>
      <c r="I1021" s="331">
        <v>50914</v>
      </c>
      <c r="J1021" s="331">
        <v>0</v>
      </c>
      <c r="K1021" s="331">
        <f t="shared" si="47"/>
        <v>50914</v>
      </c>
      <c r="L1021" s="199">
        <v>1.21</v>
      </c>
      <c r="M1021" s="199">
        <v>2.11</v>
      </c>
    </row>
    <row r="1022" spans="1:13" ht="15" customHeight="1" x14ac:dyDescent="0.25">
      <c r="A1022" s="49">
        <v>1992</v>
      </c>
      <c r="B1022" s="330" t="s">
        <v>30</v>
      </c>
      <c r="C1022" s="331">
        <v>3322718104</v>
      </c>
      <c r="D1022" s="331">
        <v>1777077162</v>
      </c>
      <c r="E1022" s="331">
        <v>25904598</v>
      </c>
      <c r="F1022" s="331">
        <v>30216</v>
      </c>
      <c r="G1022" s="370">
        <f t="shared" si="45"/>
        <v>9.0937597034262279E-6</v>
      </c>
      <c r="H1022" s="370">
        <f t="shared" si="46"/>
        <v>1.7003200899838021E-5</v>
      </c>
      <c r="I1022" s="331">
        <v>50306</v>
      </c>
      <c r="J1022" s="331">
        <v>0</v>
      </c>
      <c r="K1022" s="331">
        <f t="shared" si="47"/>
        <v>50306</v>
      </c>
      <c r="L1022" s="199">
        <v>1.46</v>
      </c>
      <c r="M1022" s="199">
        <v>2.11</v>
      </c>
    </row>
    <row r="1023" spans="1:13" ht="15" customHeight="1" x14ac:dyDescent="0.25">
      <c r="A1023" s="49">
        <v>1993</v>
      </c>
      <c r="B1023" s="330" t="s">
        <v>30</v>
      </c>
      <c r="C1023" s="331">
        <v>3538882641</v>
      </c>
      <c r="D1023" s="331">
        <v>1909276720</v>
      </c>
      <c r="E1023" s="331">
        <v>28202815</v>
      </c>
      <c r="F1023" s="331">
        <v>25497</v>
      </c>
      <c r="G1023" s="370">
        <f t="shared" si="45"/>
        <v>7.2048164877248326E-6</v>
      </c>
      <c r="H1023" s="370">
        <f t="shared" si="46"/>
        <v>1.335427166366958E-5</v>
      </c>
      <c r="I1023" s="331">
        <v>56267</v>
      </c>
      <c r="J1023" s="331">
        <v>0</v>
      </c>
      <c r="K1023" s="331">
        <f t="shared" si="47"/>
        <v>56267</v>
      </c>
      <c r="L1023" s="199">
        <v>1.48</v>
      </c>
      <c r="M1023" s="199">
        <v>2.11</v>
      </c>
    </row>
    <row r="1024" spans="1:13" ht="15" customHeight="1" x14ac:dyDescent="0.25">
      <c r="A1024" s="49">
        <v>1994</v>
      </c>
      <c r="B1024" s="330" t="s">
        <v>30</v>
      </c>
      <c r="C1024" s="331">
        <v>3789637558</v>
      </c>
      <c r="D1024" s="331">
        <v>2063855708</v>
      </c>
      <c r="E1024" s="331">
        <v>24674791</v>
      </c>
      <c r="F1024" s="331">
        <v>26805</v>
      </c>
      <c r="G1024" s="370">
        <f t="shared" si="45"/>
        <v>7.0732357883180974E-6</v>
      </c>
      <c r="H1024" s="370">
        <f t="shared" si="46"/>
        <v>1.2987826569511322E-5</v>
      </c>
      <c r="I1024" s="331">
        <v>58641</v>
      </c>
      <c r="J1024" s="331">
        <v>0</v>
      </c>
      <c r="K1024" s="331">
        <f t="shared" si="47"/>
        <v>58641</v>
      </c>
      <c r="L1024" s="199">
        <v>1.2</v>
      </c>
      <c r="M1024" s="199">
        <v>2.11</v>
      </c>
    </row>
    <row r="1025" spans="1:13" ht="15" customHeight="1" x14ac:dyDescent="0.25">
      <c r="A1025" s="49">
        <v>1995</v>
      </c>
      <c r="B1025" s="330" t="s">
        <v>30</v>
      </c>
      <c r="C1025" s="331">
        <v>4067345123</v>
      </c>
      <c r="D1025" s="331">
        <v>2224920331</v>
      </c>
      <c r="E1025" s="331">
        <v>24622829</v>
      </c>
      <c r="F1025" s="331">
        <v>30354</v>
      </c>
      <c r="G1025" s="370">
        <f t="shared" si="45"/>
        <v>7.4628533065351088E-6</v>
      </c>
      <c r="H1025" s="370">
        <f t="shared" si="46"/>
        <v>1.3642735686790756E-5</v>
      </c>
      <c r="I1025" s="331">
        <v>57415</v>
      </c>
      <c r="J1025" s="331">
        <v>0</v>
      </c>
      <c r="K1025" s="331">
        <f t="shared" si="47"/>
        <v>57415</v>
      </c>
      <c r="L1025" s="199">
        <v>1.1100000000000001</v>
      </c>
      <c r="M1025" s="199">
        <v>2.11</v>
      </c>
    </row>
    <row r="1026" spans="1:13" ht="15" customHeight="1" x14ac:dyDescent="0.25">
      <c r="A1026" s="49">
        <v>1996</v>
      </c>
      <c r="B1026" s="330" t="s">
        <v>30</v>
      </c>
      <c r="C1026" s="331">
        <v>4358686458</v>
      </c>
      <c r="D1026" s="331">
        <v>2401099113</v>
      </c>
      <c r="E1026" s="331">
        <v>19916597</v>
      </c>
      <c r="F1026" s="331">
        <v>32340</v>
      </c>
      <c r="G1026" s="370">
        <f t="shared" ref="G1026:G1089" si="48">F1026/C1026</f>
        <v>7.419666523762605E-6</v>
      </c>
      <c r="H1026" s="370">
        <f t="shared" ref="H1026:H1089" si="49">F1026/D1026</f>
        <v>1.3468831763297561E-5</v>
      </c>
      <c r="I1026" s="331">
        <v>50072</v>
      </c>
      <c r="J1026" s="331">
        <v>0</v>
      </c>
      <c r="K1026" s="331">
        <f t="shared" ref="K1026:K1089" si="50">I1026-J1026</f>
        <v>50072</v>
      </c>
      <c r="L1026" s="199">
        <v>0.83</v>
      </c>
      <c r="M1026" s="199">
        <v>2.11</v>
      </c>
    </row>
    <row r="1027" spans="1:13" ht="15" customHeight="1" x14ac:dyDescent="0.25">
      <c r="A1027" s="49">
        <v>1997</v>
      </c>
      <c r="B1027" s="330" t="s">
        <v>30</v>
      </c>
      <c r="C1027" s="331">
        <v>4629980934</v>
      </c>
      <c r="D1027" s="331">
        <v>2536767150</v>
      </c>
      <c r="E1027" s="331">
        <v>21467007</v>
      </c>
      <c r="F1027" s="331">
        <v>36109</v>
      </c>
      <c r="G1027" s="370">
        <f t="shared" si="48"/>
        <v>7.7989522019055476E-6</v>
      </c>
      <c r="H1027" s="370">
        <f t="shared" si="49"/>
        <v>1.4234258749369251E-5</v>
      </c>
      <c r="I1027" s="331">
        <v>38057</v>
      </c>
      <c r="J1027" s="331">
        <v>0</v>
      </c>
      <c r="K1027" s="331">
        <f t="shared" si="50"/>
        <v>38057</v>
      </c>
      <c r="L1027" s="199">
        <v>0.85</v>
      </c>
      <c r="M1027" s="199">
        <v>2.11</v>
      </c>
    </row>
    <row r="1028" spans="1:13" ht="15" customHeight="1" x14ac:dyDescent="0.25">
      <c r="A1028" s="49">
        <v>1998</v>
      </c>
      <c r="B1028" s="330" t="s">
        <v>30</v>
      </c>
      <c r="C1028" s="331">
        <v>4955451434</v>
      </c>
      <c r="D1028" s="331">
        <v>2700797451</v>
      </c>
      <c r="E1028" s="331">
        <v>29284992</v>
      </c>
      <c r="F1028" s="331">
        <v>33247</v>
      </c>
      <c r="G1028" s="370">
        <f t="shared" si="48"/>
        <v>6.7091768414655397E-6</v>
      </c>
      <c r="H1028" s="370">
        <f t="shared" si="49"/>
        <v>1.2310067897794384E-5</v>
      </c>
      <c r="I1028" s="331">
        <v>35484</v>
      </c>
      <c r="J1028" s="331">
        <v>0</v>
      </c>
      <c r="K1028" s="331">
        <f t="shared" si="50"/>
        <v>35484</v>
      </c>
      <c r="L1028" s="199">
        <v>1.08</v>
      </c>
      <c r="M1028" s="199">
        <v>2.11</v>
      </c>
    </row>
    <row r="1029" spans="1:13" ht="15" customHeight="1" x14ac:dyDescent="0.25">
      <c r="A1029" s="49">
        <v>1999</v>
      </c>
      <c r="B1029" s="330" t="s">
        <v>30</v>
      </c>
      <c r="C1029" s="331">
        <v>5221030341</v>
      </c>
      <c r="D1029" s="331">
        <v>2891091398</v>
      </c>
      <c r="E1029" s="331">
        <v>31761169</v>
      </c>
      <c r="F1029" s="331">
        <v>38249</v>
      </c>
      <c r="G1029" s="370">
        <f t="shared" si="48"/>
        <v>7.3259486158576991E-6</v>
      </c>
      <c r="H1029" s="370">
        <f t="shared" si="49"/>
        <v>1.3229951853635587E-5</v>
      </c>
      <c r="I1029" s="331">
        <v>31280</v>
      </c>
      <c r="J1029" s="331">
        <v>0</v>
      </c>
      <c r="K1029" s="331">
        <f t="shared" si="50"/>
        <v>31280</v>
      </c>
      <c r="L1029" s="199">
        <v>1.1000000000000001</v>
      </c>
      <c r="M1029" s="199">
        <v>2.11</v>
      </c>
    </row>
    <row r="1030" spans="1:13" ht="15" customHeight="1" x14ac:dyDescent="0.25">
      <c r="A1030" s="49">
        <v>2000</v>
      </c>
      <c r="B1030" s="330" t="s">
        <v>30</v>
      </c>
      <c r="C1030" s="331">
        <v>5476332351</v>
      </c>
      <c r="D1030" s="331">
        <v>3023663636</v>
      </c>
      <c r="E1030" s="331">
        <v>37556939</v>
      </c>
      <c r="F1030" s="331">
        <v>38765</v>
      </c>
      <c r="G1030" s="370">
        <f t="shared" si="48"/>
        <v>7.0786426964976583E-6</v>
      </c>
      <c r="H1030" s="370">
        <f t="shared" si="49"/>
        <v>1.2820539804249576E-5</v>
      </c>
      <c r="I1030" s="331">
        <v>33053</v>
      </c>
      <c r="J1030" s="331">
        <v>0</v>
      </c>
      <c r="K1030" s="331">
        <f t="shared" si="50"/>
        <v>33053</v>
      </c>
      <c r="L1030" s="199">
        <v>1.24</v>
      </c>
      <c r="M1030" s="199">
        <v>2.11</v>
      </c>
    </row>
    <row r="1031" spans="1:13" ht="15" customHeight="1" x14ac:dyDescent="0.25">
      <c r="A1031" s="49">
        <v>2001</v>
      </c>
      <c r="B1031" s="330" t="s">
        <v>30</v>
      </c>
      <c r="C1031" s="331">
        <v>5682003889</v>
      </c>
      <c r="D1031" s="331">
        <v>3159222254</v>
      </c>
      <c r="E1031" s="331">
        <v>39217885</v>
      </c>
      <c r="F1031" s="331">
        <v>42519</v>
      </c>
      <c r="G1031" s="370">
        <f t="shared" si="48"/>
        <v>7.4830994189064343E-6</v>
      </c>
      <c r="H1031" s="370">
        <f t="shared" si="49"/>
        <v>1.3458692229128619E-5</v>
      </c>
      <c r="I1031" s="331">
        <v>33388</v>
      </c>
      <c r="J1031" s="331">
        <v>0</v>
      </c>
      <c r="K1031" s="331">
        <f t="shared" si="50"/>
        <v>33388</v>
      </c>
      <c r="L1031" s="199">
        <v>1.24</v>
      </c>
      <c r="M1031" s="199">
        <v>2.11</v>
      </c>
    </row>
    <row r="1032" spans="1:13" ht="15" customHeight="1" x14ac:dyDescent="0.25">
      <c r="A1032" s="49">
        <v>2002</v>
      </c>
      <c r="B1032" s="330" t="s">
        <v>30</v>
      </c>
      <c r="C1032" s="331">
        <v>5794304468</v>
      </c>
      <c r="D1032" s="331">
        <v>3196789376</v>
      </c>
      <c r="E1032" s="331">
        <v>40984931</v>
      </c>
      <c r="F1032" s="331">
        <v>45497</v>
      </c>
      <c r="G1032" s="370">
        <f t="shared" si="48"/>
        <v>7.8520209373298681E-6</v>
      </c>
      <c r="H1032" s="370">
        <f t="shared" si="49"/>
        <v>1.4232091842387304E-5</v>
      </c>
      <c r="I1032" s="331">
        <v>46157</v>
      </c>
      <c r="J1032" s="331">
        <v>0</v>
      </c>
      <c r="K1032" s="331">
        <f t="shared" si="50"/>
        <v>46157</v>
      </c>
      <c r="L1032" s="199">
        <v>1.28</v>
      </c>
      <c r="M1032" s="199">
        <v>2.11</v>
      </c>
    </row>
    <row r="1033" spans="1:13" ht="15" customHeight="1" x14ac:dyDescent="0.25">
      <c r="A1033" s="49">
        <v>2003</v>
      </c>
      <c r="B1033" s="330" t="s">
        <v>30</v>
      </c>
      <c r="C1033" s="331">
        <v>6074809526</v>
      </c>
      <c r="D1033" s="331">
        <v>3321175424</v>
      </c>
      <c r="E1033" s="331">
        <v>51156443</v>
      </c>
      <c r="F1033" s="331">
        <v>44634</v>
      </c>
      <c r="G1033" s="370">
        <f t="shared" si="48"/>
        <v>7.3473908620456062E-6</v>
      </c>
      <c r="H1033" s="370">
        <f t="shared" si="49"/>
        <v>1.3439217837594115E-5</v>
      </c>
      <c r="I1033" s="331">
        <v>55455</v>
      </c>
      <c r="J1033" s="331">
        <v>0</v>
      </c>
      <c r="K1033" s="331">
        <f t="shared" si="50"/>
        <v>55455</v>
      </c>
      <c r="L1033" s="199">
        <v>1.54</v>
      </c>
      <c r="M1033" s="199">
        <v>2.11</v>
      </c>
    </row>
    <row r="1034" spans="1:13" ht="15" customHeight="1" x14ac:dyDescent="0.25">
      <c r="A1034" s="49">
        <v>2004</v>
      </c>
      <c r="B1034" s="330" t="s">
        <v>30</v>
      </c>
      <c r="C1034" s="331">
        <v>6564637524</v>
      </c>
      <c r="D1034" s="331">
        <v>3526636440</v>
      </c>
      <c r="E1034" s="331">
        <v>55925940</v>
      </c>
      <c r="F1034" s="331">
        <v>38335</v>
      </c>
      <c r="G1034" s="370">
        <f t="shared" si="48"/>
        <v>5.8396217399436109E-6</v>
      </c>
      <c r="H1034" s="370">
        <f t="shared" si="49"/>
        <v>1.0870130973863583E-5</v>
      </c>
      <c r="I1034" s="331">
        <v>77058</v>
      </c>
      <c r="J1034" s="331">
        <v>0</v>
      </c>
      <c r="K1034" s="331">
        <f t="shared" si="50"/>
        <v>77058</v>
      </c>
      <c r="L1034" s="199">
        <v>1.59</v>
      </c>
      <c r="M1034" s="199">
        <v>2.11</v>
      </c>
    </row>
    <row r="1035" spans="1:13" ht="15" customHeight="1" x14ac:dyDescent="0.25">
      <c r="A1035" s="49">
        <v>2005</v>
      </c>
      <c r="B1035" s="330" t="s">
        <v>30</v>
      </c>
      <c r="C1035" s="331">
        <v>6955525569</v>
      </c>
      <c r="D1035" s="331">
        <v>3774557199</v>
      </c>
      <c r="E1035" s="331">
        <v>55856775</v>
      </c>
      <c r="F1035" s="331">
        <v>38515</v>
      </c>
      <c r="G1035" s="370">
        <f t="shared" si="48"/>
        <v>5.5373241918133478E-6</v>
      </c>
      <c r="H1035" s="370">
        <f t="shared" si="49"/>
        <v>1.0203845900177072E-5</v>
      </c>
      <c r="I1035" s="331">
        <v>99507</v>
      </c>
      <c r="J1035" s="331">
        <v>0</v>
      </c>
      <c r="K1035" s="331">
        <f t="shared" si="50"/>
        <v>99507</v>
      </c>
      <c r="L1035" s="199">
        <v>1.48</v>
      </c>
      <c r="M1035" s="199">
        <v>2.11</v>
      </c>
    </row>
    <row r="1036" spans="1:13" ht="15" customHeight="1" x14ac:dyDescent="0.25">
      <c r="A1036" s="49">
        <v>2006</v>
      </c>
      <c r="B1036" s="330" t="s">
        <v>30</v>
      </c>
      <c r="C1036" s="331">
        <v>7492521050</v>
      </c>
      <c r="D1036" s="331">
        <v>4076069651</v>
      </c>
      <c r="E1036" s="331">
        <v>53732370</v>
      </c>
      <c r="F1036" s="331">
        <v>40204</v>
      </c>
      <c r="G1036" s="370">
        <f t="shared" si="48"/>
        <v>5.365884157242374E-6</v>
      </c>
      <c r="H1036" s="370">
        <f t="shared" si="49"/>
        <v>9.8634232096933321E-6</v>
      </c>
      <c r="I1036" s="331">
        <v>119471</v>
      </c>
      <c r="J1036" s="331">
        <v>0</v>
      </c>
      <c r="K1036" s="331">
        <f t="shared" si="50"/>
        <v>119471</v>
      </c>
      <c r="L1036" s="199">
        <v>1.32</v>
      </c>
      <c r="M1036" s="199">
        <v>2.11</v>
      </c>
    </row>
    <row r="1037" spans="1:13" ht="15" customHeight="1" x14ac:dyDescent="0.25">
      <c r="A1037" s="49">
        <v>2007</v>
      </c>
      <c r="B1037" s="330" t="s">
        <v>30</v>
      </c>
      <c r="C1037" s="331">
        <v>8109043976</v>
      </c>
      <c r="D1037" s="331">
        <v>4396663229</v>
      </c>
      <c r="E1037" s="331">
        <v>50787204</v>
      </c>
      <c r="F1037" s="331">
        <v>43087</v>
      </c>
      <c r="G1037" s="370">
        <f t="shared" si="48"/>
        <v>5.3134500352350781E-6</v>
      </c>
      <c r="H1037" s="370">
        <f t="shared" si="49"/>
        <v>9.7999318473614205E-6</v>
      </c>
      <c r="I1037" s="331">
        <v>134442</v>
      </c>
      <c r="J1037" s="331">
        <v>0</v>
      </c>
      <c r="K1037" s="331">
        <f t="shared" si="50"/>
        <v>134442</v>
      </c>
      <c r="L1037" s="199">
        <v>1.1599999999999999</v>
      </c>
      <c r="M1037" s="199">
        <v>2.11</v>
      </c>
    </row>
    <row r="1038" spans="1:13" ht="15" customHeight="1" x14ac:dyDescent="0.25">
      <c r="A1038" s="49">
        <v>2008</v>
      </c>
      <c r="B1038" s="330" t="s">
        <v>30</v>
      </c>
      <c r="C1038" s="331">
        <v>8929085064</v>
      </c>
      <c r="D1038" s="331">
        <v>4793723117</v>
      </c>
      <c r="E1038" s="331">
        <v>46313924</v>
      </c>
      <c r="F1038" s="331">
        <v>47326</v>
      </c>
      <c r="G1038" s="370">
        <f t="shared" si="48"/>
        <v>5.3002070940960631E-6</v>
      </c>
      <c r="H1038" s="370">
        <f t="shared" si="49"/>
        <v>9.8724934346265456E-6</v>
      </c>
      <c r="I1038" s="331">
        <v>139632</v>
      </c>
      <c r="J1038" s="331">
        <v>0</v>
      </c>
      <c r="K1038" s="331">
        <f t="shared" si="50"/>
        <v>139632</v>
      </c>
      <c r="L1038" s="199">
        <v>1</v>
      </c>
      <c r="M1038" s="199">
        <v>2.11</v>
      </c>
    </row>
    <row r="1039" spans="1:13" ht="15" customHeight="1" x14ac:dyDescent="0.25">
      <c r="A1039" s="49">
        <v>2009</v>
      </c>
      <c r="B1039" s="330" t="s">
        <v>30</v>
      </c>
      <c r="C1039" s="331">
        <v>9021746302</v>
      </c>
      <c r="D1039" s="331">
        <v>4986350848</v>
      </c>
      <c r="E1039" s="331">
        <v>51171996</v>
      </c>
      <c r="F1039" s="331">
        <v>96488</v>
      </c>
      <c r="G1039" s="370">
        <f t="shared" si="48"/>
        <v>1.0695046919974896E-5</v>
      </c>
      <c r="H1039" s="370">
        <f t="shared" si="49"/>
        <v>1.9350423373979158E-5</v>
      </c>
      <c r="I1039" s="331">
        <v>98997</v>
      </c>
      <c r="J1039" s="331">
        <v>0</v>
      </c>
      <c r="K1039" s="331">
        <f t="shared" si="50"/>
        <v>98997</v>
      </c>
      <c r="L1039" s="199">
        <v>1</v>
      </c>
      <c r="M1039" s="199">
        <v>0.96</v>
      </c>
    </row>
    <row r="1040" spans="1:13" ht="15" customHeight="1" x14ac:dyDescent="0.25">
      <c r="A1040" s="49">
        <v>2010</v>
      </c>
      <c r="B1040" s="330" t="s">
        <v>30</v>
      </c>
      <c r="C1040" s="331">
        <v>9908116756</v>
      </c>
      <c r="D1040" s="331">
        <v>5490286657</v>
      </c>
      <c r="E1040" s="331">
        <v>75117810</v>
      </c>
      <c r="F1040" s="331">
        <v>78164</v>
      </c>
      <c r="G1040" s="370">
        <f t="shared" si="48"/>
        <v>7.8888856404186693E-6</v>
      </c>
      <c r="H1040" s="370">
        <f t="shared" si="49"/>
        <v>1.4236779403921022E-5</v>
      </c>
      <c r="I1040" s="331">
        <v>96326</v>
      </c>
      <c r="J1040" s="331">
        <v>0</v>
      </c>
      <c r="K1040" s="331">
        <f t="shared" si="50"/>
        <v>96326</v>
      </c>
      <c r="L1040" s="199">
        <v>1.4</v>
      </c>
      <c r="M1040" s="199">
        <v>0.96</v>
      </c>
    </row>
    <row r="1041" spans="1:13" ht="15" customHeight="1" x14ac:dyDescent="0.25">
      <c r="A1041" s="49">
        <v>2011</v>
      </c>
      <c r="B1041" s="330" t="s">
        <v>30</v>
      </c>
      <c r="C1041" s="331">
        <v>11860532485</v>
      </c>
      <c r="D1041" s="331">
        <v>6436254302</v>
      </c>
      <c r="E1041" s="331">
        <v>85992210</v>
      </c>
      <c r="F1041" s="331">
        <v>66421</v>
      </c>
      <c r="G1041" s="370">
        <f t="shared" si="48"/>
        <v>5.6001701512139148E-6</v>
      </c>
      <c r="H1041" s="370">
        <f t="shared" si="49"/>
        <v>1.0319822195241781E-5</v>
      </c>
      <c r="I1041" s="331">
        <v>120210</v>
      </c>
      <c r="J1041" s="331">
        <v>0</v>
      </c>
      <c r="K1041" s="331">
        <f t="shared" si="50"/>
        <v>120210</v>
      </c>
      <c r="L1041" s="199">
        <v>1.3</v>
      </c>
      <c r="M1041" s="199">
        <v>0.96</v>
      </c>
    </row>
    <row r="1042" spans="1:13" ht="15" customHeight="1" x14ac:dyDescent="0.25">
      <c r="A1042" s="49">
        <v>2012</v>
      </c>
      <c r="B1042" s="330" t="s">
        <v>30</v>
      </c>
      <c r="C1042" s="331">
        <v>14642709284</v>
      </c>
      <c r="D1042" s="331">
        <v>7896017375</v>
      </c>
      <c r="E1042" s="331">
        <v>98081654</v>
      </c>
      <c r="F1042" s="331">
        <v>70120</v>
      </c>
      <c r="G1042" s="370">
        <f t="shared" si="48"/>
        <v>4.788731281896015E-6</v>
      </c>
      <c r="H1042" s="370">
        <f t="shared" si="49"/>
        <v>8.8804262541278921E-6</v>
      </c>
      <c r="I1042" s="331">
        <v>157762</v>
      </c>
      <c r="J1042" s="331">
        <v>0</v>
      </c>
      <c r="K1042" s="331">
        <f t="shared" si="50"/>
        <v>157762</v>
      </c>
      <c r="L1042" s="199">
        <v>1.24</v>
      </c>
      <c r="M1042" s="199">
        <v>0.96</v>
      </c>
    </row>
    <row r="1043" spans="1:13" ht="15" customHeight="1" x14ac:dyDescent="0.25">
      <c r="A1043" s="49">
        <v>2013</v>
      </c>
      <c r="B1043" s="330" t="s">
        <v>30</v>
      </c>
      <c r="C1043" s="331">
        <v>15866094584</v>
      </c>
      <c r="D1043" s="331">
        <v>9134487228</v>
      </c>
      <c r="E1043" s="331">
        <v>103192981</v>
      </c>
      <c r="F1043" s="331">
        <v>99791</v>
      </c>
      <c r="G1043" s="370">
        <f t="shared" si="48"/>
        <v>6.2895755141049777E-6</v>
      </c>
      <c r="H1043" s="370">
        <f t="shared" si="49"/>
        <v>1.092464169133764E-5</v>
      </c>
      <c r="I1043" s="331">
        <v>165501</v>
      </c>
      <c r="J1043" s="331">
        <v>0</v>
      </c>
      <c r="K1043" s="331">
        <f t="shared" si="50"/>
        <v>165501</v>
      </c>
      <c r="L1043" s="199">
        <v>1.1299999999999999</v>
      </c>
      <c r="M1043" s="199">
        <v>0.96</v>
      </c>
    </row>
    <row r="1044" spans="1:13" ht="15" customHeight="1" x14ac:dyDescent="0.25">
      <c r="A1044" s="49">
        <v>2014</v>
      </c>
      <c r="B1044" s="330" t="s">
        <v>30</v>
      </c>
      <c r="C1044" s="331">
        <v>17869137025</v>
      </c>
      <c r="D1044" s="331">
        <v>10289685838</v>
      </c>
      <c r="E1044" s="331">
        <v>118914586</v>
      </c>
      <c r="F1044" s="331">
        <v>95036</v>
      </c>
      <c r="G1044" s="370">
        <f t="shared" si="48"/>
        <v>5.3184437428085593E-6</v>
      </c>
      <c r="H1044" s="370">
        <f t="shared" si="49"/>
        <v>9.2360448604786649E-6</v>
      </c>
      <c r="I1044" s="331">
        <v>193072</v>
      </c>
      <c r="J1044" s="331">
        <v>0</v>
      </c>
      <c r="K1044" s="331">
        <f t="shared" si="50"/>
        <v>193072</v>
      </c>
      <c r="L1044" s="333">
        <v>1.1556678004769225</v>
      </c>
      <c r="M1044" s="199">
        <v>0.96</v>
      </c>
    </row>
    <row r="1045" spans="1:13" ht="15" customHeight="1" x14ac:dyDescent="0.25">
      <c r="A1045" s="49">
        <v>2015</v>
      </c>
      <c r="B1045" s="330" t="s">
        <v>30</v>
      </c>
      <c r="C1045" s="334">
        <v>17074785000</v>
      </c>
      <c r="D1045" s="334">
        <v>10262598000</v>
      </c>
      <c r="E1045" s="334">
        <v>107301000</v>
      </c>
      <c r="F1045" s="331">
        <v>171449</v>
      </c>
      <c r="G1045" s="370">
        <f t="shared" si="48"/>
        <v>1.0041063474591334E-5</v>
      </c>
      <c r="H1045" s="370">
        <f t="shared" si="49"/>
        <v>1.6706198566873612E-5</v>
      </c>
      <c r="I1045" s="331">
        <v>132881</v>
      </c>
      <c r="J1045" s="199">
        <v>0</v>
      </c>
      <c r="K1045" s="331">
        <f t="shared" si="50"/>
        <v>132881</v>
      </c>
      <c r="L1045" s="199">
        <v>0.9</v>
      </c>
      <c r="M1045" s="199">
        <v>1</v>
      </c>
    </row>
    <row r="1046" spans="1:13" ht="15" customHeight="1" x14ac:dyDescent="0.25">
      <c r="A1046" s="49">
        <v>1980</v>
      </c>
      <c r="B1046" s="330" t="s">
        <v>31</v>
      </c>
      <c r="C1046" s="331">
        <v>5606353614</v>
      </c>
      <c r="D1046" s="331">
        <v>2575979322</v>
      </c>
      <c r="E1046" s="331">
        <v>34247397</v>
      </c>
      <c r="F1046" s="331">
        <v>43823</v>
      </c>
      <c r="G1046" s="370">
        <f t="shared" si="48"/>
        <v>7.8166671275544702E-6</v>
      </c>
      <c r="H1046" s="370">
        <f t="shared" si="49"/>
        <v>1.7012170721143699E-5</v>
      </c>
      <c r="I1046" s="331">
        <v>81691</v>
      </c>
      <c r="J1046" s="331">
        <v>0</v>
      </c>
      <c r="K1046" s="331">
        <f t="shared" si="50"/>
        <v>81691</v>
      </c>
      <c r="L1046" s="199">
        <v>1.33</v>
      </c>
      <c r="M1046" s="199">
        <v>1.1299999999999999</v>
      </c>
    </row>
    <row r="1047" spans="1:13" ht="15" customHeight="1" x14ac:dyDescent="0.25">
      <c r="A1047" s="49">
        <v>1981</v>
      </c>
      <c r="B1047" s="330" t="s">
        <v>31</v>
      </c>
      <c r="C1047" s="331">
        <v>5994742364</v>
      </c>
      <c r="D1047" s="331">
        <v>2621455807</v>
      </c>
      <c r="E1047" s="331">
        <v>41234965</v>
      </c>
      <c r="F1047" s="331">
        <v>44297</v>
      </c>
      <c r="G1047" s="370">
        <f t="shared" si="48"/>
        <v>7.3893083822943091E-6</v>
      </c>
      <c r="H1047" s="370">
        <f t="shared" si="49"/>
        <v>1.6897862585253185E-5</v>
      </c>
      <c r="I1047" s="331">
        <v>95093</v>
      </c>
      <c r="J1047" s="331">
        <v>0</v>
      </c>
      <c r="K1047" s="331">
        <f t="shared" si="50"/>
        <v>95093</v>
      </c>
      <c r="L1047" s="199">
        <v>1.57</v>
      </c>
      <c r="M1047" s="199">
        <v>1.1000000000000001</v>
      </c>
    </row>
    <row r="1048" spans="1:13" ht="15" customHeight="1" x14ac:dyDescent="0.25">
      <c r="A1048" s="49">
        <v>1982</v>
      </c>
      <c r="B1048" s="330" t="s">
        <v>31</v>
      </c>
      <c r="C1048" s="331">
        <v>6145331968</v>
      </c>
      <c r="D1048" s="331">
        <v>2573369899</v>
      </c>
      <c r="E1048" s="331">
        <v>31783793</v>
      </c>
      <c r="F1048" s="331">
        <v>65415</v>
      </c>
      <c r="G1048" s="370">
        <f t="shared" si="48"/>
        <v>1.0644664981587534E-5</v>
      </c>
      <c r="H1048" s="370">
        <f t="shared" si="49"/>
        <v>2.5419975583541244E-5</v>
      </c>
      <c r="I1048" s="331">
        <v>71531</v>
      </c>
      <c r="J1048" s="331">
        <v>0</v>
      </c>
      <c r="K1048" s="331">
        <f t="shared" si="50"/>
        <v>71531</v>
      </c>
      <c r="L1048" s="199">
        <v>1.24</v>
      </c>
      <c r="M1048" s="199">
        <v>1.18</v>
      </c>
    </row>
    <row r="1049" spans="1:13" ht="15" customHeight="1" x14ac:dyDescent="0.25">
      <c r="A1049" s="49">
        <v>1983</v>
      </c>
      <c r="B1049" s="330" t="s">
        <v>31</v>
      </c>
      <c r="C1049" s="331">
        <v>6393413672</v>
      </c>
      <c r="D1049" s="331">
        <v>2864054670</v>
      </c>
      <c r="E1049" s="331">
        <v>47693333</v>
      </c>
      <c r="F1049" s="331">
        <v>62471</v>
      </c>
      <c r="G1049" s="370">
        <f t="shared" si="48"/>
        <v>9.7711493741742661E-6</v>
      </c>
      <c r="H1049" s="370">
        <f t="shared" si="49"/>
        <v>2.1812083635959365E-5</v>
      </c>
      <c r="I1049" s="331">
        <v>61891</v>
      </c>
      <c r="J1049" s="331">
        <v>0</v>
      </c>
      <c r="K1049" s="331">
        <f t="shared" si="50"/>
        <v>61891</v>
      </c>
      <c r="L1049" s="199">
        <v>1.67</v>
      </c>
      <c r="M1049" s="199">
        <v>1.2</v>
      </c>
    </row>
    <row r="1050" spans="1:13" ht="15" customHeight="1" x14ac:dyDescent="0.25">
      <c r="A1050" s="49">
        <v>1984</v>
      </c>
      <c r="B1050" s="330" t="s">
        <v>31</v>
      </c>
      <c r="C1050" s="331">
        <v>6925430815</v>
      </c>
      <c r="D1050" s="331">
        <v>3065814491</v>
      </c>
      <c r="E1050" s="331">
        <v>53573956</v>
      </c>
      <c r="F1050" s="331">
        <v>47630</v>
      </c>
      <c r="G1050" s="370">
        <f t="shared" si="48"/>
        <v>6.8775504762587105E-6</v>
      </c>
      <c r="H1050" s="370">
        <f t="shared" si="49"/>
        <v>1.5535838890390319E-5</v>
      </c>
      <c r="I1050" s="331">
        <v>75780</v>
      </c>
      <c r="J1050" s="331">
        <v>0</v>
      </c>
      <c r="K1050" s="331">
        <f t="shared" si="50"/>
        <v>75780</v>
      </c>
      <c r="L1050" s="199">
        <v>1.75</v>
      </c>
      <c r="M1050" s="199">
        <v>1.2</v>
      </c>
    </row>
    <row r="1051" spans="1:13" x14ac:dyDescent="0.25">
      <c r="A1051" s="49">
        <v>1985</v>
      </c>
      <c r="B1051" s="330" t="s">
        <v>31</v>
      </c>
      <c r="C1051" s="331">
        <v>7317930740</v>
      </c>
      <c r="D1051" s="331">
        <v>3170428545</v>
      </c>
      <c r="E1051" s="331">
        <v>47543439</v>
      </c>
      <c r="F1051" s="331">
        <v>61228</v>
      </c>
      <c r="G1051" s="370">
        <f t="shared" si="48"/>
        <v>8.3668460628256772E-6</v>
      </c>
      <c r="H1051" s="370">
        <f t="shared" si="49"/>
        <v>1.9312215724451849E-5</v>
      </c>
      <c r="I1051" s="331">
        <v>70670</v>
      </c>
      <c r="J1051" s="331">
        <v>0</v>
      </c>
      <c r="K1051" s="331">
        <f t="shared" si="50"/>
        <v>70670</v>
      </c>
      <c r="L1051" s="199">
        <v>1.5</v>
      </c>
      <c r="M1051" s="199">
        <v>1.2</v>
      </c>
    </row>
    <row r="1052" spans="1:13" ht="15" customHeight="1" x14ac:dyDescent="0.25">
      <c r="A1052" s="49">
        <v>1986</v>
      </c>
      <c r="B1052" s="330" t="s">
        <v>31</v>
      </c>
      <c r="C1052" s="331">
        <v>7568266552</v>
      </c>
      <c r="D1052" s="331">
        <v>3189214842</v>
      </c>
      <c r="E1052" s="331">
        <v>60639567</v>
      </c>
      <c r="F1052" s="331">
        <v>59569</v>
      </c>
      <c r="G1052" s="370">
        <f t="shared" si="48"/>
        <v>7.8708908560122288E-6</v>
      </c>
      <c r="H1052" s="370">
        <f t="shared" si="49"/>
        <v>1.8678265012288562E-5</v>
      </c>
      <c r="I1052" s="331">
        <v>78030</v>
      </c>
      <c r="J1052" s="331">
        <v>0</v>
      </c>
      <c r="K1052" s="331">
        <f t="shared" si="50"/>
        <v>78030</v>
      </c>
      <c r="L1052" s="199">
        <v>1.9</v>
      </c>
      <c r="M1052" s="199">
        <v>1.2</v>
      </c>
    </row>
    <row r="1053" spans="1:13" ht="15" customHeight="1" x14ac:dyDescent="0.25">
      <c r="A1053" s="49">
        <v>1987</v>
      </c>
      <c r="B1053" s="330" t="s">
        <v>31</v>
      </c>
      <c r="C1053" s="331">
        <v>7981956714</v>
      </c>
      <c r="D1053" s="331">
        <v>3290835940</v>
      </c>
      <c r="E1053" s="331">
        <v>45536930</v>
      </c>
      <c r="F1053" s="331">
        <v>47569</v>
      </c>
      <c r="G1053" s="370">
        <f t="shared" si="48"/>
        <v>5.9595662698303125E-6</v>
      </c>
      <c r="H1053" s="370">
        <f t="shared" si="49"/>
        <v>1.4454989816356509E-5</v>
      </c>
      <c r="I1053" s="331">
        <v>86959</v>
      </c>
      <c r="J1053" s="331">
        <v>0</v>
      </c>
      <c r="K1053" s="331">
        <f t="shared" si="50"/>
        <v>86959</v>
      </c>
      <c r="L1053" s="199">
        <v>1.38</v>
      </c>
      <c r="M1053" s="199">
        <v>1.2</v>
      </c>
    </row>
    <row r="1054" spans="1:13" ht="15" customHeight="1" x14ac:dyDescent="0.25">
      <c r="A1054" s="49">
        <v>1988</v>
      </c>
      <c r="B1054" s="330" t="s">
        <v>31</v>
      </c>
      <c r="C1054" s="331">
        <v>8649765137</v>
      </c>
      <c r="D1054" s="331">
        <v>3440516524</v>
      </c>
      <c r="E1054" s="331">
        <v>49190318</v>
      </c>
      <c r="F1054" s="331">
        <v>40123</v>
      </c>
      <c r="G1054" s="370">
        <f t="shared" si="48"/>
        <v>4.6386230567545638E-6</v>
      </c>
      <c r="H1054" s="370">
        <f t="shared" si="49"/>
        <v>1.166191172753106E-5</v>
      </c>
      <c r="I1054" s="331">
        <v>104841</v>
      </c>
      <c r="J1054" s="331">
        <v>0</v>
      </c>
      <c r="K1054" s="331">
        <f t="shared" si="50"/>
        <v>104841</v>
      </c>
      <c r="L1054" s="199">
        <v>1.43</v>
      </c>
      <c r="M1054" s="199">
        <v>1.2</v>
      </c>
    </row>
    <row r="1055" spans="1:13" ht="15" customHeight="1" x14ac:dyDescent="0.25">
      <c r="A1055" s="49">
        <v>1989</v>
      </c>
      <c r="B1055" s="330" t="s">
        <v>31</v>
      </c>
      <c r="C1055" s="331">
        <v>9154774298</v>
      </c>
      <c r="D1055" s="331">
        <v>3597436419</v>
      </c>
      <c r="E1055" s="331">
        <v>44387419</v>
      </c>
      <c r="F1055" s="331">
        <v>35332</v>
      </c>
      <c r="G1055" s="370">
        <f t="shared" si="48"/>
        <v>3.8594069990036578E-6</v>
      </c>
      <c r="H1055" s="370">
        <f t="shared" si="49"/>
        <v>9.8214383479837669E-6</v>
      </c>
      <c r="I1055" s="331">
        <v>126692</v>
      </c>
      <c r="J1055" s="331">
        <v>0</v>
      </c>
      <c r="K1055" s="331">
        <f t="shared" si="50"/>
        <v>126692</v>
      </c>
      <c r="L1055" s="199">
        <v>1.23</v>
      </c>
      <c r="M1055" s="199">
        <v>1.2</v>
      </c>
    </row>
    <row r="1056" spans="1:13" ht="15" customHeight="1" x14ac:dyDescent="0.25">
      <c r="A1056" s="49">
        <v>1990</v>
      </c>
      <c r="B1056" s="330" t="s">
        <v>31</v>
      </c>
      <c r="C1056" s="331">
        <v>9839476652</v>
      </c>
      <c r="D1056" s="331">
        <v>3736914906</v>
      </c>
      <c r="E1056" s="331">
        <v>36915697</v>
      </c>
      <c r="F1056" s="331">
        <v>34134</v>
      </c>
      <c r="G1056" s="370">
        <f t="shared" si="48"/>
        <v>3.469086945092941E-6</v>
      </c>
      <c r="H1056" s="370">
        <f t="shared" si="49"/>
        <v>9.1342727513528238E-6</v>
      </c>
      <c r="I1056" s="331">
        <v>145164</v>
      </c>
      <c r="J1056" s="331">
        <v>0</v>
      </c>
      <c r="K1056" s="331">
        <f t="shared" si="50"/>
        <v>145164</v>
      </c>
      <c r="L1056" s="199">
        <v>0.99</v>
      </c>
      <c r="M1056" s="199">
        <v>1.2</v>
      </c>
    </row>
    <row r="1057" spans="1:13" ht="15" customHeight="1" x14ac:dyDescent="0.25">
      <c r="A1057" s="49">
        <v>1991</v>
      </c>
      <c r="B1057" s="330" t="s">
        <v>31</v>
      </c>
      <c r="C1057" s="331">
        <v>10260462897</v>
      </c>
      <c r="D1057" s="331">
        <v>3820091668</v>
      </c>
      <c r="E1057" s="331">
        <v>34042754</v>
      </c>
      <c r="F1057" s="331">
        <v>46100</v>
      </c>
      <c r="G1057" s="370">
        <f t="shared" si="48"/>
        <v>4.4929746798732564E-6</v>
      </c>
      <c r="H1057" s="370">
        <f t="shared" si="49"/>
        <v>1.2067773238576641E-5</v>
      </c>
      <c r="I1057" s="331">
        <v>146184</v>
      </c>
      <c r="J1057" s="331">
        <v>0</v>
      </c>
      <c r="K1057" s="331">
        <f t="shared" si="50"/>
        <v>146184</v>
      </c>
      <c r="L1057" s="199">
        <v>0.89</v>
      </c>
      <c r="M1057" s="199">
        <v>1.2</v>
      </c>
    </row>
    <row r="1058" spans="1:13" ht="15" customHeight="1" x14ac:dyDescent="0.25">
      <c r="A1058" s="49">
        <v>1992</v>
      </c>
      <c r="B1058" s="330" t="s">
        <v>31</v>
      </c>
      <c r="C1058" s="331">
        <v>11012159279</v>
      </c>
      <c r="D1058" s="331">
        <v>3919594603</v>
      </c>
      <c r="E1058" s="331">
        <v>50229406</v>
      </c>
      <c r="F1058" s="331">
        <v>48569</v>
      </c>
      <c r="G1058" s="370">
        <f t="shared" si="48"/>
        <v>4.4104883310778344E-6</v>
      </c>
      <c r="H1058" s="370">
        <f t="shared" si="49"/>
        <v>1.2391332502301641E-5</v>
      </c>
      <c r="I1058" s="331">
        <v>160713</v>
      </c>
      <c r="J1058" s="331">
        <v>0</v>
      </c>
      <c r="K1058" s="331">
        <f t="shared" si="50"/>
        <v>160713</v>
      </c>
      <c r="L1058" s="199">
        <v>1.28</v>
      </c>
      <c r="M1058" s="199">
        <v>1.2</v>
      </c>
    </row>
    <row r="1059" spans="1:13" ht="15" customHeight="1" x14ac:dyDescent="0.25">
      <c r="A1059" s="49">
        <v>1993</v>
      </c>
      <c r="B1059" s="330" t="s">
        <v>31</v>
      </c>
      <c r="C1059" s="331">
        <v>11564525690</v>
      </c>
      <c r="D1059" s="331">
        <v>4072042698</v>
      </c>
      <c r="E1059" s="331">
        <v>44940573</v>
      </c>
      <c r="F1059" s="331">
        <v>45252</v>
      </c>
      <c r="G1059" s="370">
        <f t="shared" si="48"/>
        <v>3.9130009490255198E-6</v>
      </c>
      <c r="H1059" s="370">
        <f t="shared" si="49"/>
        <v>1.1112850074540156E-5</v>
      </c>
      <c r="I1059" s="331">
        <v>171938</v>
      </c>
      <c r="J1059" s="331">
        <v>0</v>
      </c>
      <c r="K1059" s="331">
        <f t="shared" si="50"/>
        <v>171938</v>
      </c>
      <c r="L1059" s="199">
        <v>1.1000000000000001</v>
      </c>
      <c r="M1059" s="199">
        <v>1.2</v>
      </c>
    </row>
    <row r="1060" spans="1:13" ht="15" customHeight="1" x14ac:dyDescent="0.25">
      <c r="A1060" s="49">
        <v>1994</v>
      </c>
      <c r="B1060" s="330" t="s">
        <v>31</v>
      </c>
      <c r="C1060" s="331">
        <v>12475358677</v>
      </c>
      <c r="D1060" s="331">
        <v>4331021507</v>
      </c>
      <c r="E1060" s="331">
        <v>38911371</v>
      </c>
      <c r="F1060" s="331">
        <v>39759</v>
      </c>
      <c r="G1060" s="370">
        <f t="shared" si="48"/>
        <v>3.1870025567522204E-6</v>
      </c>
      <c r="H1060" s="370">
        <f t="shared" si="49"/>
        <v>9.1800513887404261E-6</v>
      </c>
      <c r="I1060" s="331">
        <v>188365</v>
      </c>
      <c r="J1060" s="331">
        <v>0</v>
      </c>
      <c r="K1060" s="331">
        <f t="shared" si="50"/>
        <v>188365</v>
      </c>
      <c r="L1060" s="199">
        <v>0.9</v>
      </c>
      <c r="M1060" s="199">
        <v>1.2</v>
      </c>
    </row>
    <row r="1061" spans="1:13" ht="15" customHeight="1" x14ac:dyDescent="0.25">
      <c r="A1061" s="49">
        <v>1995</v>
      </c>
      <c r="B1061" s="330" t="s">
        <v>31</v>
      </c>
      <c r="C1061" s="331">
        <v>13443234130</v>
      </c>
      <c r="D1061" s="331">
        <v>4539043418</v>
      </c>
      <c r="E1061" s="331">
        <v>36095522</v>
      </c>
      <c r="F1061" s="331">
        <v>44288</v>
      </c>
      <c r="G1061" s="370">
        <f t="shared" si="48"/>
        <v>3.2944453374628533E-6</v>
      </c>
      <c r="H1061" s="370">
        <f t="shared" si="49"/>
        <v>9.7571219134789068E-6</v>
      </c>
      <c r="I1061" s="331">
        <v>194283</v>
      </c>
      <c r="J1061" s="331">
        <v>0</v>
      </c>
      <c r="K1061" s="331">
        <f t="shared" si="50"/>
        <v>194283</v>
      </c>
      <c r="L1061" s="199">
        <v>0.8</v>
      </c>
      <c r="M1061" s="199">
        <v>0.99</v>
      </c>
    </row>
    <row r="1062" spans="1:13" ht="15" customHeight="1" x14ac:dyDescent="0.25">
      <c r="A1062" s="49">
        <v>1996</v>
      </c>
      <c r="B1062" s="330" t="s">
        <v>31</v>
      </c>
      <c r="C1062" s="331">
        <v>14393327584</v>
      </c>
      <c r="D1062" s="331">
        <v>4687805382</v>
      </c>
      <c r="E1062" s="331">
        <v>43301910</v>
      </c>
      <c r="F1062" s="331">
        <v>50677</v>
      </c>
      <c r="G1062" s="370">
        <f t="shared" si="48"/>
        <v>3.520867548122359E-6</v>
      </c>
      <c r="H1062" s="370">
        <f t="shared" si="49"/>
        <v>1.0810389056377426E-5</v>
      </c>
      <c r="I1062" s="331">
        <v>195210</v>
      </c>
      <c r="J1062" s="331">
        <v>0</v>
      </c>
      <c r="K1062" s="331">
        <f t="shared" si="50"/>
        <v>195210</v>
      </c>
      <c r="L1062" s="199">
        <v>0.92</v>
      </c>
      <c r="M1062" s="199">
        <v>0.96</v>
      </c>
    </row>
    <row r="1063" spans="1:13" ht="15" customHeight="1" x14ac:dyDescent="0.25">
      <c r="A1063" s="49">
        <v>1997</v>
      </c>
      <c r="B1063" s="330" t="s">
        <v>31</v>
      </c>
      <c r="C1063" s="331">
        <v>15595329512</v>
      </c>
      <c r="D1063" s="331">
        <v>4871324975</v>
      </c>
      <c r="E1063" s="331">
        <v>53396714</v>
      </c>
      <c r="F1063" s="331">
        <v>47406</v>
      </c>
      <c r="G1063" s="370">
        <f t="shared" si="48"/>
        <v>3.0397562272424528E-6</v>
      </c>
      <c r="H1063" s="370">
        <f t="shared" si="49"/>
        <v>9.7316439045415981E-6</v>
      </c>
      <c r="I1063" s="331">
        <v>205727</v>
      </c>
      <c r="J1063" s="331">
        <v>0</v>
      </c>
      <c r="K1063" s="331">
        <f t="shared" si="50"/>
        <v>205727</v>
      </c>
      <c r="L1063" s="199">
        <v>1.1000000000000001</v>
      </c>
      <c r="M1063" s="199">
        <v>0.96</v>
      </c>
    </row>
    <row r="1064" spans="1:13" ht="15" customHeight="1" x14ac:dyDescent="0.25">
      <c r="A1064" s="49">
        <v>1998</v>
      </c>
      <c r="B1064" s="330" t="s">
        <v>31</v>
      </c>
      <c r="C1064" s="331">
        <v>16707475736</v>
      </c>
      <c r="D1064" s="331">
        <v>5148079083</v>
      </c>
      <c r="E1064" s="331">
        <v>23877438</v>
      </c>
      <c r="F1064" s="331">
        <v>41841</v>
      </c>
      <c r="G1064" s="370">
        <f t="shared" si="48"/>
        <v>2.5043280421975528E-6</v>
      </c>
      <c r="H1064" s="370">
        <f t="shared" si="49"/>
        <v>8.1274975239147855E-6</v>
      </c>
      <c r="I1064" s="331">
        <v>198068</v>
      </c>
      <c r="J1064" s="331">
        <v>0</v>
      </c>
      <c r="K1064" s="331">
        <f t="shared" si="50"/>
        <v>198068</v>
      </c>
      <c r="L1064" s="199">
        <v>0.46</v>
      </c>
      <c r="M1064" s="199">
        <v>0.96</v>
      </c>
    </row>
    <row r="1065" spans="1:13" ht="15" customHeight="1" x14ac:dyDescent="0.25">
      <c r="A1065" s="49">
        <v>1999</v>
      </c>
      <c r="B1065" s="330" t="s">
        <v>31</v>
      </c>
      <c r="C1065" s="331">
        <v>17904440275</v>
      </c>
      <c r="D1065" s="331">
        <v>5347489732</v>
      </c>
      <c r="E1065" s="331">
        <v>32262065</v>
      </c>
      <c r="F1065" s="331">
        <v>51371</v>
      </c>
      <c r="G1065" s="370">
        <f t="shared" si="48"/>
        <v>2.8691765400636071E-6</v>
      </c>
      <c r="H1065" s="370">
        <f t="shared" si="49"/>
        <v>9.6065635605787077E-6</v>
      </c>
      <c r="I1065" s="331">
        <v>184718</v>
      </c>
      <c r="J1065" s="331">
        <v>0</v>
      </c>
      <c r="K1065" s="331">
        <f t="shared" si="50"/>
        <v>184718</v>
      </c>
      <c r="L1065" s="199">
        <v>0.6</v>
      </c>
      <c r="M1065" s="199">
        <v>0.96</v>
      </c>
    </row>
    <row r="1066" spans="1:13" ht="15" customHeight="1" x14ac:dyDescent="0.25">
      <c r="A1066" s="49">
        <v>2000</v>
      </c>
      <c r="B1066" s="330" t="s">
        <v>31</v>
      </c>
      <c r="C1066" s="331">
        <v>18853175857</v>
      </c>
      <c r="D1066" s="331">
        <v>5435130776</v>
      </c>
      <c r="E1066" s="331">
        <v>43002621</v>
      </c>
      <c r="F1066" s="331">
        <v>55650</v>
      </c>
      <c r="G1066" s="370">
        <f t="shared" si="48"/>
        <v>2.9517573284257942E-6</v>
      </c>
      <c r="H1066" s="370">
        <f t="shared" si="49"/>
        <v>1.0238944064737993E-5</v>
      </c>
      <c r="I1066" s="331">
        <v>179177</v>
      </c>
      <c r="J1066" s="331">
        <v>0</v>
      </c>
      <c r="K1066" s="331">
        <f t="shared" si="50"/>
        <v>179177</v>
      </c>
      <c r="L1066" s="199">
        <v>0.79</v>
      </c>
      <c r="M1066" s="199">
        <v>0.96</v>
      </c>
    </row>
    <row r="1067" spans="1:13" ht="15" customHeight="1" x14ac:dyDescent="0.25">
      <c r="A1067" s="49">
        <v>2001</v>
      </c>
      <c r="B1067" s="330" t="s">
        <v>31</v>
      </c>
      <c r="C1067" s="331">
        <v>19107750548</v>
      </c>
      <c r="D1067" s="331">
        <v>5395721147</v>
      </c>
      <c r="E1067" s="331">
        <v>54029492</v>
      </c>
      <c r="F1067" s="331">
        <v>89993</v>
      </c>
      <c r="G1067" s="370">
        <f t="shared" si="48"/>
        <v>4.7097642275542231E-6</v>
      </c>
      <c r="H1067" s="370">
        <f t="shared" si="49"/>
        <v>1.6678586151553766E-5</v>
      </c>
      <c r="I1067" s="331">
        <v>144070</v>
      </c>
      <c r="J1067" s="331">
        <v>0</v>
      </c>
      <c r="K1067" s="331">
        <f t="shared" si="50"/>
        <v>144070</v>
      </c>
      <c r="L1067" s="199">
        <v>1</v>
      </c>
      <c r="M1067" s="199">
        <v>0.96</v>
      </c>
    </row>
    <row r="1068" spans="1:13" ht="15" customHeight="1" x14ac:dyDescent="0.25">
      <c r="A1068" s="49">
        <v>2002</v>
      </c>
      <c r="B1068" s="330" t="s">
        <v>31</v>
      </c>
      <c r="C1068" s="331">
        <v>19412215228</v>
      </c>
      <c r="D1068" s="331">
        <v>5284190768</v>
      </c>
      <c r="E1068" s="331">
        <v>68019680</v>
      </c>
      <c r="F1068" s="331">
        <v>116385</v>
      </c>
      <c r="G1068" s="370">
        <f t="shared" si="48"/>
        <v>5.9954517623587521E-6</v>
      </c>
      <c r="H1068" s="370">
        <f t="shared" si="49"/>
        <v>2.2025132155486177E-5</v>
      </c>
      <c r="I1068" s="331">
        <v>152945</v>
      </c>
      <c r="J1068" s="331">
        <v>0</v>
      </c>
      <c r="K1068" s="331">
        <f t="shared" si="50"/>
        <v>152945</v>
      </c>
      <c r="L1068" s="199">
        <v>1.29</v>
      </c>
      <c r="M1068" s="199">
        <v>0.96</v>
      </c>
    </row>
    <row r="1069" spans="1:13" ht="15" customHeight="1" x14ac:dyDescent="0.25">
      <c r="A1069" s="49">
        <v>2003</v>
      </c>
      <c r="B1069" s="330" t="s">
        <v>31</v>
      </c>
      <c r="C1069" s="331">
        <v>19993429899</v>
      </c>
      <c r="D1069" s="331">
        <v>5280985517</v>
      </c>
      <c r="E1069" s="331">
        <v>90201825</v>
      </c>
      <c r="F1069" s="331">
        <v>127352</v>
      </c>
      <c r="G1069" s="370">
        <f t="shared" si="48"/>
        <v>6.3696924761453606E-6</v>
      </c>
      <c r="H1069" s="370">
        <f t="shared" si="49"/>
        <v>2.4115195845556036E-5</v>
      </c>
      <c r="I1069" s="331">
        <v>142036</v>
      </c>
      <c r="J1069" s="331">
        <v>0</v>
      </c>
      <c r="K1069" s="331">
        <f t="shared" si="50"/>
        <v>142036</v>
      </c>
      <c r="L1069" s="199">
        <v>1.71</v>
      </c>
      <c r="M1069" s="199">
        <v>0.96</v>
      </c>
    </row>
    <row r="1070" spans="1:13" ht="15" customHeight="1" x14ac:dyDescent="0.25">
      <c r="A1070" s="49">
        <v>2004</v>
      </c>
      <c r="B1070" s="330" t="s">
        <v>31</v>
      </c>
      <c r="C1070" s="331">
        <v>20902191927</v>
      </c>
      <c r="D1070" s="331">
        <v>5375961400</v>
      </c>
      <c r="E1070" s="331">
        <v>94672701</v>
      </c>
      <c r="F1070" s="331">
        <v>118968</v>
      </c>
      <c r="G1070" s="370">
        <f t="shared" si="48"/>
        <v>5.691651881079773E-6</v>
      </c>
      <c r="H1070" s="370">
        <f t="shared" si="49"/>
        <v>2.2129623177725942E-5</v>
      </c>
      <c r="I1070" s="331">
        <v>131784</v>
      </c>
      <c r="J1070" s="331">
        <v>0</v>
      </c>
      <c r="K1070" s="331">
        <f t="shared" si="50"/>
        <v>131784</v>
      </c>
      <c r="L1070" s="199">
        <v>1.76</v>
      </c>
      <c r="M1070" s="199">
        <v>0.96</v>
      </c>
    </row>
    <row r="1071" spans="1:13" ht="15" customHeight="1" x14ac:dyDescent="0.25">
      <c r="A1071" s="49">
        <v>2005</v>
      </c>
      <c r="B1071" s="330" t="s">
        <v>31</v>
      </c>
      <c r="C1071" s="331">
        <v>21798446396</v>
      </c>
      <c r="D1071" s="331">
        <v>5459368830</v>
      </c>
      <c r="E1071" s="331">
        <v>133683392</v>
      </c>
      <c r="F1071" s="331">
        <v>107886</v>
      </c>
      <c r="G1071" s="370">
        <f t="shared" si="48"/>
        <v>4.9492517971279373E-6</v>
      </c>
      <c r="H1071" s="370">
        <f t="shared" si="49"/>
        <v>1.9761625081484006E-5</v>
      </c>
      <c r="I1071" s="331">
        <v>162079</v>
      </c>
      <c r="J1071" s="331">
        <v>0</v>
      </c>
      <c r="K1071" s="331">
        <f t="shared" si="50"/>
        <v>162079</v>
      </c>
      <c r="L1071" s="199">
        <v>2.4500000000000002</v>
      </c>
      <c r="M1071" s="199">
        <v>0.96</v>
      </c>
    </row>
    <row r="1072" spans="1:13" ht="15" customHeight="1" x14ac:dyDescent="0.25">
      <c r="A1072" s="49">
        <v>2006</v>
      </c>
      <c r="B1072" s="330" t="s">
        <v>31</v>
      </c>
      <c r="C1072" s="331">
        <v>23008838082</v>
      </c>
      <c r="D1072" s="331">
        <v>6177908478</v>
      </c>
      <c r="E1072" s="331">
        <v>156268185</v>
      </c>
      <c r="F1072" s="331">
        <v>85486</v>
      </c>
      <c r="G1072" s="370">
        <f t="shared" si="48"/>
        <v>3.7153549299334844E-6</v>
      </c>
      <c r="H1072" s="370">
        <f t="shared" si="49"/>
        <v>1.3837369120054485E-5</v>
      </c>
      <c r="I1072" s="331">
        <v>233698</v>
      </c>
      <c r="J1072" s="331">
        <v>0</v>
      </c>
      <c r="K1072" s="331">
        <f t="shared" si="50"/>
        <v>233698</v>
      </c>
      <c r="L1072" s="199">
        <v>2.5299999999999998</v>
      </c>
      <c r="M1072" s="199">
        <v>0.96</v>
      </c>
    </row>
    <row r="1073" spans="1:13" ht="15" customHeight="1" x14ac:dyDescent="0.25">
      <c r="A1073" s="49">
        <v>2007</v>
      </c>
      <c r="B1073" s="330" t="s">
        <v>31</v>
      </c>
      <c r="C1073" s="331">
        <v>24441774855</v>
      </c>
      <c r="D1073" s="331">
        <v>6964773637</v>
      </c>
      <c r="E1073" s="331">
        <v>114796789</v>
      </c>
      <c r="F1073" s="331">
        <v>86165</v>
      </c>
      <c r="G1073" s="370">
        <f t="shared" si="48"/>
        <v>3.5253168197142369E-6</v>
      </c>
      <c r="H1073" s="370">
        <f t="shared" si="49"/>
        <v>1.2371543497444467E-5</v>
      </c>
      <c r="I1073" s="331">
        <v>278865</v>
      </c>
      <c r="J1073" s="331">
        <v>0</v>
      </c>
      <c r="K1073" s="331">
        <f t="shared" si="50"/>
        <v>278865</v>
      </c>
      <c r="L1073" s="199">
        <v>1.65</v>
      </c>
      <c r="M1073" s="199">
        <v>0.96</v>
      </c>
    </row>
    <row r="1074" spans="1:13" ht="15" customHeight="1" x14ac:dyDescent="0.25">
      <c r="A1074" s="49">
        <v>2008</v>
      </c>
      <c r="B1074" s="330" t="s">
        <v>31</v>
      </c>
      <c r="C1074" s="331">
        <v>25129998909</v>
      </c>
      <c r="D1074" s="331">
        <v>6988245010</v>
      </c>
      <c r="E1074" s="331">
        <v>96403385</v>
      </c>
      <c r="F1074" s="331">
        <v>101326</v>
      </c>
      <c r="G1074" s="370">
        <f t="shared" si="48"/>
        <v>4.0320733943092743E-6</v>
      </c>
      <c r="H1074" s="370">
        <f t="shared" si="49"/>
        <v>1.449949162558054E-5</v>
      </c>
      <c r="I1074" s="331">
        <v>280971</v>
      </c>
      <c r="J1074" s="331">
        <v>0</v>
      </c>
      <c r="K1074" s="331">
        <f t="shared" si="50"/>
        <v>280971</v>
      </c>
      <c r="L1074" s="199">
        <v>1.4</v>
      </c>
      <c r="M1074" s="199">
        <v>0.96</v>
      </c>
    </row>
    <row r="1075" spans="1:13" ht="15" customHeight="1" x14ac:dyDescent="0.25">
      <c r="A1075" s="49">
        <v>2009</v>
      </c>
      <c r="B1075" s="330" t="s">
        <v>31</v>
      </c>
      <c r="C1075" s="331">
        <v>24342271832</v>
      </c>
      <c r="D1075" s="331">
        <v>6602434135</v>
      </c>
      <c r="E1075" s="331">
        <v>88370060</v>
      </c>
      <c r="F1075" s="331">
        <v>207450</v>
      </c>
      <c r="G1075" s="370">
        <f t="shared" si="48"/>
        <v>8.5222119542387662E-6</v>
      </c>
      <c r="H1075" s="370">
        <f t="shared" si="49"/>
        <v>3.1420230139107628E-5</v>
      </c>
      <c r="I1075" s="331">
        <v>167832</v>
      </c>
      <c r="J1075" s="331">
        <v>0</v>
      </c>
      <c r="K1075" s="331">
        <f t="shared" si="50"/>
        <v>167832</v>
      </c>
      <c r="L1075" s="199">
        <v>1.3</v>
      </c>
      <c r="M1075" s="199">
        <v>0.7</v>
      </c>
    </row>
    <row r="1076" spans="1:13" ht="15" customHeight="1" x14ac:dyDescent="0.25">
      <c r="A1076" s="49">
        <v>2010</v>
      </c>
      <c r="B1076" s="330" t="s">
        <v>31</v>
      </c>
      <c r="C1076" s="331">
        <v>24495985111</v>
      </c>
      <c r="D1076" s="331">
        <v>6623549908</v>
      </c>
      <c r="E1076" s="331">
        <v>208696257</v>
      </c>
      <c r="F1076" s="331">
        <v>187711</v>
      </c>
      <c r="G1076" s="370">
        <f t="shared" si="48"/>
        <v>7.6629292167436763E-6</v>
      </c>
      <c r="H1076" s="370">
        <f t="shared" si="49"/>
        <v>2.8339938946225872E-5</v>
      </c>
      <c r="I1076" s="331">
        <v>215340</v>
      </c>
      <c r="J1076" s="331">
        <v>0</v>
      </c>
      <c r="K1076" s="331">
        <f t="shared" si="50"/>
        <v>215340</v>
      </c>
      <c r="L1076" s="199">
        <v>3.2</v>
      </c>
      <c r="M1076" s="199">
        <v>0.75</v>
      </c>
    </row>
    <row r="1077" spans="1:13" ht="15" customHeight="1" x14ac:dyDescent="0.25">
      <c r="A1077" s="49">
        <v>2011</v>
      </c>
      <c r="B1077" s="330" t="s">
        <v>31</v>
      </c>
      <c r="C1077" s="331">
        <v>25337406768</v>
      </c>
      <c r="D1077" s="331">
        <v>6752731154</v>
      </c>
      <c r="E1077" s="331">
        <v>213000390</v>
      </c>
      <c r="F1077" s="331">
        <v>160453</v>
      </c>
      <c r="G1077" s="370">
        <f t="shared" si="48"/>
        <v>6.3326528033896855E-6</v>
      </c>
      <c r="H1077" s="370">
        <f t="shared" si="49"/>
        <v>2.3761200666926477E-5</v>
      </c>
      <c r="I1077" s="331">
        <v>275750</v>
      </c>
      <c r="J1077" s="331">
        <v>0</v>
      </c>
      <c r="K1077" s="331">
        <f t="shared" si="50"/>
        <v>275750</v>
      </c>
      <c r="L1077" s="199">
        <v>3.2</v>
      </c>
      <c r="M1077" s="199">
        <v>0.75</v>
      </c>
    </row>
    <row r="1078" spans="1:13" ht="15" customHeight="1" x14ac:dyDescent="0.25">
      <c r="A1078" s="49">
        <v>2012</v>
      </c>
      <c r="B1078" s="330" t="s">
        <v>31</v>
      </c>
      <c r="C1078" s="331">
        <v>26763665953</v>
      </c>
      <c r="D1078" s="331">
        <v>6995245005</v>
      </c>
      <c r="E1078" s="331">
        <v>168740807</v>
      </c>
      <c r="F1078" s="331">
        <v>126468</v>
      </c>
      <c r="G1078" s="370">
        <f t="shared" si="48"/>
        <v>4.725361623556803E-6</v>
      </c>
      <c r="H1078" s="370">
        <f t="shared" si="49"/>
        <v>1.8079138030133941E-5</v>
      </c>
      <c r="I1078" s="331">
        <v>332529</v>
      </c>
      <c r="J1078" s="331">
        <v>0</v>
      </c>
      <c r="K1078" s="331">
        <f t="shared" si="50"/>
        <v>332529</v>
      </c>
      <c r="L1078" s="199">
        <v>2.41</v>
      </c>
      <c r="M1078" s="199">
        <v>0.75</v>
      </c>
    </row>
    <row r="1079" spans="1:13" ht="15" customHeight="1" x14ac:dyDescent="0.25">
      <c r="A1079" s="49">
        <v>2013</v>
      </c>
      <c r="B1079" s="330" t="s">
        <v>31</v>
      </c>
      <c r="C1079" s="331">
        <v>27640326472</v>
      </c>
      <c r="D1079" s="331">
        <v>7157328418</v>
      </c>
      <c r="E1079" s="331">
        <v>120834570</v>
      </c>
      <c r="F1079" s="331">
        <v>105341</v>
      </c>
      <c r="G1079" s="370">
        <f t="shared" si="48"/>
        <v>3.8111344345629118E-6</v>
      </c>
      <c r="H1079" s="370">
        <f t="shared" si="49"/>
        <v>1.4717921806560869E-5</v>
      </c>
      <c r="I1079" s="331">
        <v>358777</v>
      </c>
      <c r="J1079" s="331">
        <v>0</v>
      </c>
      <c r="K1079" s="331">
        <f t="shared" si="50"/>
        <v>358777</v>
      </c>
      <c r="L1079" s="199">
        <v>1.69</v>
      </c>
      <c r="M1079" s="199">
        <v>0.75</v>
      </c>
    </row>
    <row r="1080" spans="1:13" ht="15" customHeight="1" x14ac:dyDescent="0.25">
      <c r="A1080" s="49">
        <v>2014</v>
      </c>
      <c r="B1080" s="330" t="s">
        <v>31</v>
      </c>
      <c r="C1080" s="331">
        <v>29070553785</v>
      </c>
      <c r="D1080" s="331">
        <v>7378183809</v>
      </c>
      <c r="E1080" s="331">
        <v>106484082</v>
      </c>
      <c r="F1080" s="331">
        <v>92820</v>
      </c>
      <c r="G1080" s="370">
        <f t="shared" si="48"/>
        <v>3.1929216308185301E-6</v>
      </c>
      <c r="H1080" s="370">
        <f t="shared" si="49"/>
        <v>1.2580331745974804E-5</v>
      </c>
      <c r="I1080" s="331">
        <v>363728</v>
      </c>
      <c r="J1080" s="331">
        <v>0</v>
      </c>
      <c r="K1080" s="331">
        <f t="shared" si="50"/>
        <v>363728</v>
      </c>
      <c r="L1080" s="333">
        <v>1.4432289131928293</v>
      </c>
      <c r="M1080" s="199">
        <v>0.75</v>
      </c>
    </row>
    <row r="1081" spans="1:13" ht="15" customHeight="1" x14ac:dyDescent="0.25">
      <c r="A1081" s="49">
        <v>2015</v>
      </c>
      <c r="B1081" s="330" t="s">
        <v>31</v>
      </c>
      <c r="C1081" s="334">
        <v>30680100000</v>
      </c>
      <c r="D1081" s="334">
        <v>7596349000</v>
      </c>
      <c r="E1081" s="334">
        <v>99476000</v>
      </c>
      <c r="F1081" s="331">
        <v>80685</v>
      </c>
      <c r="G1081" s="370">
        <f t="shared" si="48"/>
        <v>2.6298806066473057E-6</v>
      </c>
      <c r="H1081" s="370">
        <f t="shared" si="49"/>
        <v>1.0621549905092565E-5</v>
      </c>
      <c r="I1081" s="331">
        <v>390813</v>
      </c>
      <c r="J1081" s="199">
        <v>0</v>
      </c>
      <c r="K1081" s="331">
        <f t="shared" si="50"/>
        <v>390813</v>
      </c>
      <c r="L1081" s="199">
        <v>1.3</v>
      </c>
      <c r="M1081" s="199">
        <v>0.75</v>
      </c>
    </row>
    <row r="1082" spans="1:13" ht="15" customHeight="1" x14ac:dyDescent="0.25">
      <c r="A1082" s="49">
        <v>1980</v>
      </c>
      <c r="B1082" s="330" t="s">
        <v>32</v>
      </c>
      <c r="C1082" s="331">
        <v>3745843107</v>
      </c>
      <c r="D1082" s="331">
        <v>1816628292</v>
      </c>
      <c r="E1082" s="331">
        <v>23474664</v>
      </c>
      <c r="F1082" s="331">
        <v>30240</v>
      </c>
      <c r="G1082" s="370">
        <f t="shared" si="48"/>
        <v>8.0729489026086965E-6</v>
      </c>
      <c r="H1082" s="370">
        <f t="shared" si="49"/>
        <v>1.6646223188953836E-5</v>
      </c>
      <c r="I1082" s="331">
        <v>83944</v>
      </c>
      <c r="J1082" s="331">
        <v>0</v>
      </c>
      <c r="K1082" s="331">
        <f t="shared" si="50"/>
        <v>83944</v>
      </c>
      <c r="L1082" s="199">
        <v>1.29</v>
      </c>
      <c r="M1082" s="199">
        <v>1.7</v>
      </c>
    </row>
    <row r="1083" spans="1:13" ht="15" customHeight="1" x14ac:dyDescent="0.25">
      <c r="A1083" s="49">
        <v>1981</v>
      </c>
      <c r="B1083" s="330" t="s">
        <v>32</v>
      </c>
      <c r="C1083" s="331">
        <v>4177971195</v>
      </c>
      <c r="D1083" s="331">
        <v>1899961660</v>
      </c>
      <c r="E1083" s="331">
        <v>25837953</v>
      </c>
      <c r="F1083" s="331">
        <v>30436</v>
      </c>
      <c r="G1083" s="370">
        <f t="shared" si="48"/>
        <v>7.2848755004401124E-6</v>
      </c>
      <c r="H1083" s="370">
        <f t="shared" si="49"/>
        <v>1.6019270620439784E-5</v>
      </c>
      <c r="I1083" s="331">
        <v>86057</v>
      </c>
      <c r="J1083" s="331">
        <v>0</v>
      </c>
      <c r="K1083" s="331">
        <f t="shared" si="50"/>
        <v>86057</v>
      </c>
      <c r="L1083" s="199">
        <v>1.36</v>
      </c>
      <c r="M1083" s="199">
        <v>1.62</v>
      </c>
    </row>
    <row r="1084" spans="1:13" ht="15" customHeight="1" x14ac:dyDescent="0.25">
      <c r="A1084" s="49">
        <v>1982</v>
      </c>
      <c r="B1084" s="330" t="s">
        <v>32</v>
      </c>
      <c r="C1084" s="331">
        <v>4556073334</v>
      </c>
      <c r="D1084" s="331">
        <v>1928914850</v>
      </c>
      <c r="E1084" s="331">
        <v>26431442</v>
      </c>
      <c r="F1084" s="331">
        <v>46031</v>
      </c>
      <c r="G1084" s="370">
        <f t="shared" si="48"/>
        <v>1.0103217535260155E-5</v>
      </c>
      <c r="H1084" s="370">
        <f t="shared" si="49"/>
        <v>2.3863676512210999E-5</v>
      </c>
      <c r="I1084" s="331">
        <v>74817</v>
      </c>
      <c r="J1084" s="331">
        <v>0</v>
      </c>
      <c r="K1084" s="331">
        <f t="shared" si="50"/>
        <v>74817</v>
      </c>
      <c r="L1084" s="199">
        <v>1.37</v>
      </c>
      <c r="M1084" s="199">
        <v>1.62</v>
      </c>
    </row>
    <row r="1085" spans="1:13" ht="15" customHeight="1" x14ac:dyDescent="0.25">
      <c r="A1085" s="49">
        <v>1983</v>
      </c>
      <c r="B1085" s="330" t="s">
        <v>32</v>
      </c>
      <c r="C1085" s="331">
        <v>5059554731</v>
      </c>
      <c r="D1085" s="331">
        <v>2279078271</v>
      </c>
      <c r="E1085" s="331">
        <v>38302095</v>
      </c>
      <c r="F1085" s="331">
        <v>40607</v>
      </c>
      <c r="G1085" s="370">
        <f t="shared" si="48"/>
        <v>8.0258050676277973E-6</v>
      </c>
      <c r="H1085" s="370">
        <f t="shared" si="49"/>
        <v>1.7817290663818541E-5</v>
      </c>
      <c r="I1085" s="331">
        <v>75615</v>
      </c>
      <c r="J1085" s="331">
        <v>0</v>
      </c>
      <c r="K1085" s="331">
        <f t="shared" si="50"/>
        <v>75615</v>
      </c>
      <c r="L1085" s="199">
        <v>1.68</v>
      </c>
      <c r="M1085" s="199">
        <v>1.57</v>
      </c>
    </row>
    <row r="1086" spans="1:13" x14ac:dyDescent="0.25">
      <c r="A1086" s="49">
        <v>1984</v>
      </c>
      <c r="B1086" s="330" t="s">
        <v>32</v>
      </c>
      <c r="C1086" s="331">
        <v>5720422692</v>
      </c>
      <c r="D1086" s="331">
        <v>2555349802</v>
      </c>
      <c r="E1086" s="331">
        <v>40078718</v>
      </c>
      <c r="F1086" s="331">
        <v>30930</v>
      </c>
      <c r="G1086" s="370">
        <f t="shared" si="48"/>
        <v>5.4069430993719301E-6</v>
      </c>
      <c r="H1086" s="370">
        <f t="shared" si="49"/>
        <v>1.2104018000115665E-5</v>
      </c>
      <c r="I1086" s="331">
        <v>94280</v>
      </c>
      <c r="J1086" s="331">
        <v>0</v>
      </c>
      <c r="K1086" s="331">
        <f t="shared" si="50"/>
        <v>94280</v>
      </c>
      <c r="L1086" s="199">
        <v>1.57</v>
      </c>
      <c r="M1086" s="199">
        <v>1.57</v>
      </c>
    </row>
    <row r="1087" spans="1:13" ht="15" customHeight="1" x14ac:dyDescent="0.25">
      <c r="A1087" s="49">
        <v>1985</v>
      </c>
      <c r="B1087" s="330" t="s">
        <v>32</v>
      </c>
      <c r="C1087" s="331">
        <v>6466305809</v>
      </c>
      <c r="D1087" s="331">
        <v>2724662127</v>
      </c>
      <c r="E1087" s="331">
        <v>35862142</v>
      </c>
      <c r="F1087" s="331">
        <v>20155</v>
      </c>
      <c r="G1087" s="370">
        <f t="shared" si="48"/>
        <v>3.1169265103341791E-6</v>
      </c>
      <c r="H1087" s="370">
        <f t="shared" si="49"/>
        <v>7.3972474606206463E-6</v>
      </c>
      <c r="I1087" s="331">
        <v>121104</v>
      </c>
      <c r="J1087" s="331">
        <v>0</v>
      </c>
      <c r="K1087" s="331">
        <f t="shared" si="50"/>
        <v>121104</v>
      </c>
      <c r="L1087" s="199">
        <v>1.32</v>
      </c>
      <c r="M1087" s="199">
        <v>1.57</v>
      </c>
    </row>
    <row r="1088" spans="1:13" ht="15" customHeight="1" x14ac:dyDescent="0.25">
      <c r="A1088" s="49">
        <v>1986</v>
      </c>
      <c r="B1088" s="330" t="s">
        <v>32</v>
      </c>
      <c r="C1088" s="331">
        <v>7292074315</v>
      </c>
      <c r="D1088" s="331">
        <v>2977166287</v>
      </c>
      <c r="E1088" s="331">
        <v>24373684</v>
      </c>
      <c r="F1088" s="331">
        <v>18231</v>
      </c>
      <c r="G1088" s="370">
        <f t="shared" si="48"/>
        <v>2.5001116571862586E-6</v>
      </c>
      <c r="H1088" s="370">
        <f t="shared" si="49"/>
        <v>6.1236082376744985E-6</v>
      </c>
      <c r="I1088" s="331">
        <v>142184</v>
      </c>
      <c r="J1088" s="331">
        <v>0</v>
      </c>
      <c r="K1088" s="331">
        <f t="shared" si="50"/>
        <v>142184</v>
      </c>
      <c r="L1088" s="199">
        <v>0.82</v>
      </c>
      <c r="M1088" s="199">
        <v>1.57</v>
      </c>
    </row>
    <row r="1089" spans="1:13" ht="15" customHeight="1" x14ac:dyDescent="0.25">
      <c r="A1089" s="49">
        <v>1987</v>
      </c>
      <c r="B1089" s="330" t="s">
        <v>32</v>
      </c>
      <c r="C1089" s="331">
        <v>8133207680</v>
      </c>
      <c r="D1089" s="331">
        <v>3165021888</v>
      </c>
      <c r="E1089" s="331">
        <v>24492172</v>
      </c>
      <c r="F1089" s="331">
        <v>15367</v>
      </c>
      <c r="G1089" s="370">
        <f t="shared" si="48"/>
        <v>1.8894144358059722E-6</v>
      </c>
      <c r="H1089" s="370">
        <f t="shared" si="49"/>
        <v>4.8552586818634978E-6</v>
      </c>
      <c r="I1089" s="331">
        <v>164622</v>
      </c>
      <c r="J1089" s="331">
        <v>0</v>
      </c>
      <c r="K1089" s="331">
        <f t="shared" si="50"/>
        <v>164622</v>
      </c>
      <c r="L1089" s="199">
        <v>0.77</v>
      </c>
      <c r="M1089" s="199">
        <v>1.57</v>
      </c>
    </row>
    <row r="1090" spans="1:13" ht="15" customHeight="1" x14ac:dyDescent="0.25">
      <c r="A1090" s="49">
        <v>1988</v>
      </c>
      <c r="B1090" s="330" t="s">
        <v>32</v>
      </c>
      <c r="C1090" s="331">
        <v>8941105606</v>
      </c>
      <c r="D1090" s="331">
        <v>3280949974</v>
      </c>
      <c r="E1090" s="331">
        <v>25504815</v>
      </c>
      <c r="F1090" s="331">
        <v>14233</v>
      </c>
      <c r="G1090" s="370">
        <f t="shared" ref="G1090:G1153" si="51">F1090/C1090</f>
        <v>1.5918613007376663E-6</v>
      </c>
      <c r="H1090" s="370">
        <f t="shared" ref="H1090:H1153" si="52">F1090/D1090</f>
        <v>4.3380728486535585E-6</v>
      </c>
      <c r="I1090" s="331">
        <v>191477</v>
      </c>
      <c r="J1090" s="331">
        <v>0</v>
      </c>
      <c r="K1090" s="331">
        <f t="shared" ref="K1090:K1153" si="53">I1090-J1090</f>
        <v>191477</v>
      </c>
      <c r="L1090" s="199">
        <v>0.78</v>
      </c>
      <c r="M1090" s="199">
        <v>1.57</v>
      </c>
    </row>
    <row r="1091" spans="1:13" ht="15" customHeight="1" x14ac:dyDescent="0.25">
      <c r="A1091" s="49">
        <v>1989</v>
      </c>
      <c r="B1091" s="330" t="s">
        <v>32</v>
      </c>
      <c r="C1091" s="331">
        <v>9138938674</v>
      </c>
      <c r="D1091" s="331">
        <v>3213706869</v>
      </c>
      <c r="E1091" s="331">
        <v>24061055</v>
      </c>
      <c r="F1091" s="331">
        <v>29378</v>
      </c>
      <c r="G1091" s="370">
        <f t="shared" si="51"/>
        <v>3.2145964698920137E-6</v>
      </c>
      <c r="H1091" s="370">
        <f t="shared" si="52"/>
        <v>9.1414684653991066E-6</v>
      </c>
      <c r="I1091" s="331">
        <v>203990</v>
      </c>
      <c r="J1091" s="331">
        <v>0</v>
      </c>
      <c r="K1091" s="331">
        <f t="shared" si="53"/>
        <v>203990</v>
      </c>
      <c r="L1091" s="199">
        <v>0.75</v>
      </c>
      <c r="M1091" s="199">
        <v>1.57</v>
      </c>
    </row>
    <row r="1092" spans="1:13" ht="15" customHeight="1" x14ac:dyDescent="0.25">
      <c r="A1092" s="49">
        <v>1990</v>
      </c>
      <c r="B1092" s="330" t="s">
        <v>32</v>
      </c>
      <c r="C1092" s="331">
        <v>9017366920</v>
      </c>
      <c r="D1092" s="331">
        <v>2984831007</v>
      </c>
      <c r="E1092" s="331">
        <v>22102264</v>
      </c>
      <c r="F1092" s="331">
        <v>63665</v>
      </c>
      <c r="G1092" s="370">
        <f t="shared" si="51"/>
        <v>7.060264993630757E-6</v>
      </c>
      <c r="H1092" s="370">
        <f t="shared" si="52"/>
        <v>2.132951575841091E-5</v>
      </c>
      <c r="I1092" s="331">
        <v>179782</v>
      </c>
      <c r="J1092" s="331">
        <v>0</v>
      </c>
      <c r="K1092" s="331">
        <f t="shared" si="53"/>
        <v>179782</v>
      </c>
      <c r="L1092" s="199">
        <v>0.74</v>
      </c>
      <c r="M1092" s="199">
        <v>1.57</v>
      </c>
    </row>
    <row r="1093" spans="1:13" ht="15" customHeight="1" x14ac:dyDescent="0.25">
      <c r="A1093" s="49">
        <v>1991</v>
      </c>
      <c r="B1093" s="330" t="s">
        <v>32</v>
      </c>
      <c r="C1093" s="331">
        <v>8793028188</v>
      </c>
      <c r="D1093" s="331">
        <v>2666062599</v>
      </c>
      <c r="E1093" s="331">
        <v>24151265</v>
      </c>
      <c r="F1093" s="331">
        <v>87338</v>
      </c>
      <c r="G1093" s="370">
        <f t="shared" si="51"/>
        <v>9.9326418763437728E-6</v>
      </c>
      <c r="H1093" s="370">
        <f t="shared" si="52"/>
        <v>3.2759170783446408E-5</v>
      </c>
      <c r="I1093" s="331">
        <v>127995</v>
      </c>
      <c r="J1093" s="331">
        <v>0</v>
      </c>
      <c r="K1093" s="331">
        <f t="shared" si="53"/>
        <v>127995</v>
      </c>
      <c r="L1093" s="199">
        <v>0.91</v>
      </c>
      <c r="M1093" s="199">
        <v>1.53</v>
      </c>
    </row>
    <row r="1094" spans="1:13" ht="15" customHeight="1" x14ac:dyDescent="0.25">
      <c r="A1094" s="49">
        <v>1992</v>
      </c>
      <c r="B1094" s="330" t="s">
        <v>32</v>
      </c>
      <c r="C1094" s="331">
        <v>9369754984</v>
      </c>
      <c r="D1094" s="331">
        <v>2835198369</v>
      </c>
      <c r="E1094" s="331">
        <v>56181650</v>
      </c>
      <c r="F1094" s="331">
        <v>61934</v>
      </c>
      <c r="G1094" s="370">
        <f t="shared" si="51"/>
        <v>6.6099914144777382E-6</v>
      </c>
      <c r="H1094" s="370">
        <f t="shared" si="52"/>
        <v>2.1844679609435822E-5</v>
      </c>
      <c r="I1094" s="331">
        <v>129582</v>
      </c>
      <c r="J1094" s="331">
        <v>0</v>
      </c>
      <c r="K1094" s="331">
        <f t="shared" si="53"/>
        <v>129582</v>
      </c>
      <c r="L1094" s="199">
        <v>1.98</v>
      </c>
      <c r="M1094" s="199">
        <v>1.53</v>
      </c>
    </row>
    <row r="1095" spans="1:13" ht="15" customHeight="1" x14ac:dyDescent="0.25">
      <c r="A1095" s="49">
        <v>1993</v>
      </c>
      <c r="B1095" s="330" t="s">
        <v>32</v>
      </c>
      <c r="C1095" s="331">
        <v>9628435197</v>
      </c>
      <c r="D1095" s="331">
        <v>2912527174</v>
      </c>
      <c r="E1095" s="331">
        <v>66970888</v>
      </c>
      <c r="F1095" s="331">
        <v>42319</v>
      </c>
      <c r="G1095" s="370">
        <f t="shared" si="51"/>
        <v>4.3952105543781018E-6</v>
      </c>
      <c r="H1095" s="370">
        <f t="shared" si="52"/>
        <v>1.4529993188657542E-5</v>
      </c>
      <c r="I1095" s="331">
        <v>164455</v>
      </c>
      <c r="J1095" s="331">
        <v>0</v>
      </c>
      <c r="K1095" s="331">
        <f t="shared" si="53"/>
        <v>164455</v>
      </c>
      <c r="L1095" s="199">
        <v>2.2999999999999998</v>
      </c>
      <c r="M1095" s="199">
        <v>1.53</v>
      </c>
    </row>
    <row r="1096" spans="1:13" ht="15" customHeight="1" x14ac:dyDescent="0.25">
      <c r="A1096" s="49">
        <v>1994</v>
      </c>
      <c r="B1096" s="330" t="s">
        <v>32</v>
      </c>
      <c r="C1096" s="331">
        <v>10282289377</v>
      </c>
      <c r="D1096" s="331">
        <v>3390673355</v>
      </c>
      <c r="E1096" s="331">
        <v>73860979</v>
      </c>
      <c r="F1096" s="331">
        <v>41243</v>
      </c>
      <c r="G1096" s="370">
        <f t="shared" si="51"/>
        <v>4.0110717066818455E-6</v>
      </c>
      <c r="H1096" s="370">
        <f t="shared" si="52"/>
        <v>1.2163660630765773E-5</v>
      </c>
      <c r="I1096" s="331">
        <v>211580</v>
      </c>
      <c r="J1096" s="331">
        <v>0</v>
      </c>
      <c r="K1096" s="331">
        <f t="shared" si="53"/>
        <v>211580</v>
      </c>
      <c r="L1096" s="199">
        <v>2.1800000000000002</v>
      </c>
      <c r="M1096" s="199">
        <v>1.53</v>
      </c>
    </row>
    <row r="1097" spans="1:13" ht="15" customHeight="1" x14ac:dyDescent="0.25">
      <c r="A1097" s="49">
        <v>1995</v>
      </c>
      <c r="B1097" s="330" t="s">
        <v>32</v>
      </c>
      <c r="C1097" s="331">
        <v>11185739857</v>
      </c>
      <c r="D1097" s="331">
        <v>3519604938</v>
      </c>
      <c r="E1097" s="331">
        <v>53871416</v>
      </c>
      <c r="F1097" s="331">
        <v>34984</v>
      </c>
      <c r="G1097" s="370">
        <f t="shared" si="51"/>
        <v>3.1275535143173499E-6</v>
      </c>
      <c r="H1097" s="370">
        <f t="shared" si="52"/>
        <v>9.939751937011289E-6</v>
      </c>
      <c r="I1097" s="331">
        <v>250884</v>
      </c>
      <c r="J1097" s="331">
        <v>0</v>
      </c>
      <c r="K1097" s="331">
        <f t="shared" si="53"/>
        <v>250884</v>
      </c>
      <c r="L1097" s="199">
        <v>1.53</v>
      </c>
      <c r="M1097" s="199">
        <v>1.02</v>
      </c>
    </row>
    <row r="1098" spans="1:13" ht="15" customHeight="1" x14ac:dyDescent="0.25">
      <c r="A1098" s="49">
        <v>1996</v>
      </c>
      <c r="B1098" s="330" t="s">
        <v>32</v>
      </c>
      <c r="C1098" s="331">
        <v>12016194151</v>
      </c>
      <c r="D1098" s="331">
        <v>3695958065</v>
      </c>
      <c r="E1098" s="331">
        <v>37354067</v>
      </c>
      <c r="F1098" s="331">
        <v>39192</v>
      </c>
      <c r="G1098" s="370">
        <f t="shared" si="51"/>
        <v>3.2615984318744054E-6</v>
      </c>
      <c r="H1098" s="370">
        <f t="shared" si="52"/>
        <v>1.0604016417594283E-5</v>
      </c>
      <c r="I1098" s="331">
        <v>268011</v>
      </c>
      <c r="J1098" s="331">
        <v>0</v>
      </c>
      <c r="K1098" s="331">
        <f t="shared" si="53"/>
        <v>268011</v>
      </c>
      <c r="L1098" s="199">
        <v>1.01</v>
      </c>
      <c r="M1098" s="199">
        <v>0.94</v>
      </c>
    </row>
    <row r="1099" spans="1:13" ht="15" customHeight="1" x14ac:dyDescent="0.25">
      <c r="A1099" s="49">
        <v>1997</v>
      </c>
      <c r="B1099" s="330" t="s">
        <v>32</v>
      </c>
      <c r="C1099" s="331">
        <v>13202961932</v>
      </c>
      <c r="D1099" s="331">
        <v>3902203492</v>
      </c>
      <c r="E1099" s="331">
        <v>26120533</v>
      </c>
      <c r="F1099" s="331">
        <v>31641</v>
      </c>
      <c r="G1099" s="370">
        <f t="shared" si="51"/>
        <v>2.3965077050863679E-6</v>
      </c>
      <c r="H1099" s="370">
        <f t="shared" si="52"/>
        <v>8.1084956396733187E-6</v>
      </c>
      <c r="I1099" s="331">
        <v>278296</v>
      </c>
      <c r="J1099" s="331">
        <v>0</v>
      </c>
      <c r="K1099" s="331">
        <f t="shared" si="53"/>
        <v>278296</v>
      </c>
      <c r="L1099" s="199">
        <v>0.67</v>
      </c>
      <c r="M1099" s="199">
        <v>0.94</v>
      </c>
    </row>
    <row r="1100" spans="1:13" ht="15" customHeight="1" x14ac:dyDescent="0.25">
      <c r="A1100" s="49">
        <v>1998</v>
      </c>
      <c r="B1100" s="330" t="s">
        <v>32</v>
      </c>
      <c r="C1100" s="331">
        <v>14531849051</v>
      </c>
      <c r="D1100" s="331">
        <v>4120338461</v>
      </c>
      <c r="E1100" s="331">
        <v>28630342</v>
      </c>
      <c r="F1100" s="331">
        <v>23690</v>
      </c>
      <c r="G1100" s="370">
        <f t="shared" si="51"/>
        <v>1.6302123643632114E-6</v>
      </c>
      <c r="H1100" s="370">
        <f t="shared" si="52"/>
        <v>5.7495276721151865E-6</v>
      </c>
      <c r="I1100" s="331">
        <v>292105</v>
      </c>
      <c r="J1100" s="331">
        <v>0</v>
      </c>
      <c r="K1100" s="331">
        <f t="shared" si="53"/>
        <v>292105</v>
      </c>
      <c r="L1100" s="199">
        <v>0.69</v>
      </c>
      <c r="M1100" s="199">
        <v>0.94</v>
      </c>
    </row>
    <row r="1101" spans="1:13" ht="15" customHeight="1" x14ac:dyDescent="0.25">
      <c r="A1101" s="49">
        <v>1999</v>
      </c>
      <c r="B1101" s="330" t="s">
        <v>32</v>
      </c>
      <c r="C1101" s="331">
        <v>15554688756</v>
      </c>
      <c r="D1101" s="331">
        <v>4270521619</v>
      </c>
      <c r="E1101" s="331">
        <v>31462145</v>
      </c>
      <c r="F1101" s="331">
        <v>33869</v>
      </c>
      <c r="G1101" s="370">
        <f t="shared" si="51"/>
        <v>2.1774141888204297E-6</v>
      </c>
      <c r="H1101" s="370">
        <f t="shared" si="52"/>
        <v>7.9308812884386898E-6</v>
      </c>
      <c r="I1101" s="331">
        <v>306757</v>
      </c>
      <c r="J1101" s="331">
        <v>0</v>
      </c>
      <c r="K1101" s="331">
        <f t="shared" si="53"/>
        <v>306757</v>
      </c>
      <c r="L1101" s="199">
        <v>0.74</v>
      </c>
      <c r="M1101" s="199">
        <v>0.94</v>
      </c>
    </row>
    <row r="1102" spans="1:13" ht="15" customHeight="1" x14ac:dyDescent="0.25">
      <c r="A1102" s="49">
        <v>2000</v>
      </c>
      <c r="B1102" s="330" t="s">
        <v>32</v>
      </c>
      <c r="C1102" s="331">
        <v>17367280265</v>
      </c>
      <c r="D1102" s="331">
        <v>4491524845</v>
      </c>
      <c r="E1102" s="331">
        <v>34685505</v>
      </c>
      <c r="F1102" s="331">
        <v>29928</v>
      </c>
      <c r="G1102" s="370">
        <f t="shared" si="51"/>
        <v>1.723240458110958E-6</v>
      </c>
      <c r="H1102" s="370">
        <f t="shared" si="52"/>
        <v>6.6632159528887123E-6</v>
      </c>
      <c r="I1102" s="331">
        <v>328233</v>
      </c>
      <c r="J1102" s="331">
        <v>0</v>
      </c>
      <c r="K1102" s="331">
        <f t="shared" si="53"/>
        <v>328233</v>
      </c>
      <c r="L1102" s="199">
        <v>0.77</v>
      </c>
      <c r="M1102" s="199">
        <v>0.94</v>
      </c>
    </row>
    <row r="1103" spans="1:13" ht="15" customHeight="1" x14ac:dyDescent="0.25">
      <c r="A1103" s="49">
        <v>2001</v>
      </c>
      <c r="B1103" s="330" t="s">
        <v>32</v>
      </c>
      <c r="C1103" s="331">
        <v>17644711554</v>
      </c>
      <c r="D1103" s="331">
        <v>4493866119</v>
      </c>
      <c r="E1103" s="331">
        <v>35373317</v>
      </c>
      <c r="F1103" s="331">
        <v>64965</v>
      </c>
      <c r="G1103" s="370">
        <f t="shared" si="51"/>
        <v>3.6818397286450763E-6</v>
      </c>
      <c r="H1103" s="370">
        <f t="shared" si="52"/>
        <v>1.4456371925574047E-5</v>
      </c>
      <c r="I1103" s="331">
        <v>317010</v>
      </c>
      <c r="J1103" s="331">
        <v>0</v>
      </c>
      <c r="K1103" s="331">
        <f t="shared" si="53"/>
        <v>317010</v>
      </c>
      <c r="L1103" s="199">
        <v>0.79</v>
      </c>
      <c r="M1103" s="199">
        <v>0.93</v>
      </c>
    </row>
    <row r="1104" spans="1:13" ht="15" customHeight="1" x14ac:dyDescent="0.25">
      <c r="A1104" s="49">
        <v>2002</v>
      </c>
      <c r="B1104" s="330" t="s">
        <v>32</v>
      </c>
      <c r="C1104" s="331">
        <v>17380168657</v>
      </c>
      <c r="D1104" s="331">
        <v>4343767044</v>
      </c>
      <c r="E1104" s="331">
        <v>34498406</v>
      </c>
      <c r="F1104" s="331">
        <v>113619</v>
      </c>
      <c r="G1104" s="370">
        <f t="shared" si="51"/>
        <v>6.5372783338462631E-6</v>
      </c>
      <c r="H1104" s="370">
        <f t="shared" si="52"/>
        <v>2.6156789452358118E-5</v>
      </c>
      <c r="I1104" s="331">
        <v>289472</v>
      </c>
      <c r="J1104" s="331">
        <v>0</v>
      </c>
      <c r="K1104" s="331">
        <f t="shared" si="53"/>
        <v>289472</v>
      </c>
      <c r="L1104" s="199">
        <v>0.79</v>
      </c>
      <c r="M1104" s="199">
        <v>0.93</v>
      </c>
    </row>
    <row r="1105" spans="1:13" ht="15" customHeight="1" x14ac:dyDescent="0.25">
      <c r="A1105" s="49">
        <v>2003</v>
      </c>
      <c r="B1105" s="330" t="s">
        <v>32</v>
      </c>
      <c r="C1105" s="331">
        <v>17774026472</v>
      </c>
      <c r="D1105" s="331">
        <v>4295734552</v>
      </c>
      <c r="E1105" s="331">
        <v>44813880</v>
      </c>
      <c r="F1105" s="331">
        <v>112358</v>
      </c>
      <c r="G1105" s="370">
        <f t="shared" si="51"/>
        <v>6.3214713996854458E-6</v>
      </c>
      <c r="H1105" s="370">
        <f t="shared" si="52"/>
        <v>2.6155712984567114E-5</v>
      </c>
      <c r="I1105" s="331">
        <v>226460</v>
      </c>
      <c r="J1105" s="331">
        <v>0</v>
      </c>
      <c r="K1105" s="331">
        <f t="shared" si="53"/>
        <v>226460</v>
      </c>
      <c r="L1105" s="199">
        <v>1.04</v>
      </c>
      <c r="M1105" s="199">
        <v>0.93</v>
      </c>
    </row>
    <row r="1106" spans="1:13" ht="15" customHeight="1" x14ac:dyDescent="0.25">
      <c r="A1106" s="49">
        <v>2004</v>
      </c>
      <c r="B1106" s="330" t="s">
        <v>32</v>
      </c>
      <c r="C1106" s="331">
        <v>19004528670</v>
      </c>
      <c r="D1106" s="331">
        <v>4420094313</v>
      </c>
      <c r="E1106" s="331">
        <v>84935227</v>
      </c>
      <c r="F1106" s="331">
        <v>79395</v>
      </c>
      <c r="G1106" s="370">
        <f t="shared" si="51"/>
        <v>4.1776884540857177E-6</v>
      </c>
      <c r="H1106" s="370">
        <f t="shared" si="52"/>
        <v>1.7962286407891857E-5</v>
      </c>
      <c r="I1106" s="331">
        <v>242709</v>
      </c>
      <c r="J1106" s="331">
        <v>0</v>
      </c>
      <c r="K1106" s="331">
        <f t="shared" si="53"/>
        <v>242709</v>
      </c>
      <c r="L1106" s="199">
        <v>1.92</v>
      </c>
      <c r="M1106" s="199">
        <v>0.93</v>
      </c>
    </row>
    <row r="1107" spans="1:13" ht="15" customHeight="1" x14ac:dyDescent="0.25">
      <c r="A1107" s="49">
        <v>2005</v>
      </c>
      <c r="B1107" s="330" t="s">
        <v>32</v>
      </c>
      <c r="C1107" s="331">
        <v>19900691792</v>
      </c>
      <c r="D1107" s="331">
        <v>4484819743</v>
      </c>
      <c r="E1107" s="331">
        <v>80255378</v>
      </c>
      <c r="F1107" s="331">
        <v>71005</v>
      </c>
      <c r="G1107" s="370">
        <f t="shared" si="51"/>
        <v>3.5679664175565862E-6</v>
      </c>
      <c r="H1107" s="370">
        <f t="shared" si="52"/>
        <v>1.583229740968432E-5</v>
      </c>
      <c r="I1107" s="331">
        <v>264688</v>
      </c>
      <c r="J1107" s="331">
        <v>0</v>
      </c>
      <c r="K1107" s="331">
        <f t="shared" si="53"/>
        <v>264688</v>
      </c>
      <c r="L1107" s="199">
        <v>1.79</v>
      </c>
      <c r="M1107" s="199">
        <v>0.93</v>
      </c>
    </row>
    <row r="1108" spans="1:13" ht="15" customHeight="1" x14ac:dyDescent="0.25">
      <c r="A1108" s="49">
        <v>2006</v>
      </c>
      <c r="B1108" s="330" t="s">
        <v>32</v>
      </c>
      <c r="C1108" s="331">
        <v>21042056842</v>
      </c>
      <c r="D1108" s="331">
        <v>4531229302</v>
      </c>
      <c r="E1108" s="331">
        <v>65720226</v>
      </c>
      <c r="F1108" s="331">
        <v>73970</v>
      </c>
      <c r="G1108" s="370">
        <f t="shared" si="51"/>
        <v>3.5153407556791542E-6</v>
      </c>
      <c r="H1108" s="370">
        <f t="shared" si="52"/>
        <v>1.6324488360664294E-5</v>
      </c>
      <c r="I1108" s="331">
        <v>265249</v>
      </c>
      <c r="J1108" s="331">
        <v>0</v>
      </c>
      <c r="K1108" s="331">
        <f t="shared" si="53"/>
        <v>265249</v>
      </c>
      <c r="L1108" s="199">
        <v>1.45</v>
      </c>
      <c r="M1108" s="199">
        <v>0.93</v>
      </c>
    </row>
    <row r="1109" spans="1:13" ht="15" customHeight="1" x14ac:dyDescent="0.25">
      <c r="A1109" s="49">
        <v>2007</v>
      </c>
      <c r="B1109" s="330" t="s">
        <v>32</v>
      </c>
      <c r="C1109" s="331">
        <v>21634316521</v>
      </c>
      <c r="D1109" s="331">
        <v>4537217626</v>
      </c>
      <c r="E1109" s="331">
        <v>56523674</v>
      </c>
      <c r="F1109" s="331">
        <v>85158</v>
      </c>
      <c r="G1109" s="370">
        <f t="shared" si="51"/>
        <v>3.9362463758602601E-6</v>
      </c>
      <c r="H1109" s="370">
        <f t="shared" si="52"/>
        <v>1.8768771308656641E-5</v>
      </c>
      <c r="I1109" s="331">
        <v>240422</v>
      </c>
      <c r="J1109" s="331">
        <v>0</v>
      </c>
      <c r="K1109" s="331">
        <f t="shared" si="53"/>
        <v>240422</v>
      </c>
      <c r="L1109" s="199">
        <v>1.25</v>
      </c>
      <c r="M1109" s="199">
        <v>0.93</v>
      </c>
    </row>
    <row r="1110" spans="1:13" ht="15" customHeight="1" x14ac:dyDescent="0.25">
      <c r="A1110" s="49">
        <v>2008</v>
      </c>
      <c r="B1110" s="330" t="s">
        <v>32</v>
      </c>
      <c r="C1110" s="331">
        <v>21843459992</v>
      </c>
      <c r="D1110" s="331">
        <v>4471662513</v>
      </c>
      <c r="E1110" s="331">
        <v>55013313</v>
      </c>
      <c r="F1110" s="331">
        <v>118453</v>
      </c>
      <c r="G1110" s="370">
        <f t="shared" si="51"/>
        <v>5.4228130544969755E-6</v>
      </c>
      <c r="H1110" s="370">
        <f t="shared" si="52"/>
        <v>2.6489700342016845E-5</v>
      </c>
      <c r="I1110" s="331">
        <v>152422</v>
      </c>
      <c r="J1110" s="331">
        <v>0</v>
      </c>
      <c r="K1110" s="331">
        <f t="shared" si="53"/>
        <v>152422</v>
      </c>
      <c r="L1110" s="199">
        <v>1.2</v>
      </c>
      <c r="M1110" s="199">
        <v>0.93</v>
      </c>
    </row>
    <row r="1111" spans="1:13" ht="15" customHeight="1" x14ac:dyDescent="0.25">
      <c r="A1111" s="49">
        <v>2009</v>
      </c>
      <c r="B1111" s="330" t="s">
        <v>32</v>
      </c>
      <c r="C1111" s="331">
        <v>20537415020</v>
      </c>
      <c r="D1111" s="331">
        <v>4145087680</v>
      </c>
      <c r="E1111" s="331">
        <v>92305430</v>
      </c>
      <c r="F1111" s="331">
        <v>257205</v>
      </c>
      <c r="G1111" s="370">
        <f t="shared" si="51"/>
        <v>1.2523728022710036E-5</v>
      </c>
      <c r="H1111" s="370">
        <f t="shared" si="52"/>
        <v>6.205055715492127E-5</v>
      </c>
      <c r="I1111" s="331">
        <v>17905</v>
      </c>
      <c r="J1111" s="331">
        <v>0</v>
      </c>
      <c r="K1111" s="331">
        <f t="shared" si="53"/>
        <v>17905</v>
      </c>
      <c r="L1111" s="199">
        <v>2.2000000000000002</v>
      </c>
      <c r="M1111" s="199">
        <v>0.98</v>
      </c>
    </row>
    <row r="1112" spans="1:13" ht="15" customHeight="1" x14ac:dyDescent="0.25">
      <c r="A1112" s="49">
        <v>2010</v>
      </c>
      <c r="B1112" s="330" t="s">
        <v>32</v>
      </c>
      <c r="C1112" s="331">
        <v>20831819210</v>
      </c>
      <c r="D1112" s="331">
        <v>4931562082</v>
      </c>
      <c r="E1112" s="331">
        <v>165909719</v>
      </c>
      <c r="F1112" s="331">
        <v>173820</v>
      </c>
      <c r="G1112" s="370">
        <f t="shared" si="51"/>
        <v>8.3439664221241094E-6</v>
      </c>
      <c r="H1112" s="370">
        <f t="shared" si="52"/>
        <v>3.5246438574591995E-5</v>
      </c>
      <c r="I1112" s="331">
        <v>4283</v>
      </c>
      <c r="J1112" s="331">
        <v>0</v>
      </c>
      <c r="K1112" s="331">
        <f t="shared" si="53"/>
        <v>4283</v>
      </c>
      <c r="L1112" s="199">
        <v>3.4</v>
      </c>
      <c r="M1112" s="199">
        <v>1.02</v>
      </c>
    </row>
    <row r="1113" spans="1:13" ht="15" customHeight="1" x14ac:dyDescent="0.25">
      <c r="A1113" s="49">
        <v>2011</v>
      </c>
      <c r="B1113" s="330" t="s">
        <v>32</v>
      </c>
      <c r="C1113" s="331">
        <v>21706907030</v>
      </c>
      <c r="D1113" s="331">
        <v>5802137928</v>
      </c>
      <c r="E1113" s="331">
        <v>208497882</v>
      </c>
      <c r="F1113" s="331">
        <v>126686</v>
      </c>
      <c r="G1113" s="370">
        <f t="shared" si="51"/>
        <v>5.8362068729973276E-6</v>
      </c>
      <c r="H1113" s="370">
        <f t="shared" si="52"/>
        <v>2.1834365465294744E-5</v>
      </c>
      <c r="I1113" s="331">
        <v>73979</v>
      </c>
      <c r="J1113" s="331">
        <v>0</v>
      </c>
      <c r="K1113" s="331">
        <f t="shared" si="53"/>
        <v>73979</v>
      </c>
      <c r="L1113" s="199">
        <v>3.6</v>
      </c>
      <c r="M1113" s="199">
        <v>1.02</v>
      </c>
    </row>
    <row r="1114" spans="1:13" ht="15" customHeight="1" x14ac:dyDescent="0.25">
      <c r="A1114" s="49">
        <v>2012</v>
      </c>
      <c r="B1114" s="330" t="s">
        <v>32</v>
      </c>
      <c r="C1114" s="331">
        <v>22519975023</v>
      </c>
      <c r="D1114" s="331">
        <v>6621067648</v>
      </c>
      <c r="E1114" s="331">
        <v>220135474</v>
      </c>
      <c r="F1114" s="331">
        <v>113980</v>
      </c>
      <c r="G1114" s="370">
        <f t="shared" si="51"/>
        <v>5.061284476718578E-6</v>
      </c>
      <c r="H1114" s="370">
        <f t="shared" si="52"/>
        <v>1.7214746330892647E-5</v>
      </c>
      <c r="I1114" s="331">
        <v>174165</v>
      </c>
      <c r="J1114" s="331">
        <v>0</v>
      </c>
      <c r="K1114" s="331">
        <f t="shared" si="53"/>
        <v>174165</v>
      </c>
      <c r="L1114" s="199">
        <v>3.32</v>
      </c>
      <c r="M1114" s="199">
        <v>1.02</v>
      </c>
    </row>
    <row r="1115" spans="1:13" ht="15" customHeight="1" x14ac:dyDescent="0.25">
      <c r="A1115" s="49">
        <v>2013</v>
      </c>
      <c r="B1115" s="330" t="s">
        <v>32</v>
      </c>
      <c r="C1115" s="331">
        <v>23106435383</v>
      </c>
      <c r="D1115" s="331">
        <v>6747611212</v>
      </c>
      <c r="E1115" s="331">
        <v>168492470</v>
      </c>
      <c r="F1115" s="331">
        <v>99972</v>
      </c>
      <c r="G1115" s="370">
        <f t="shared" si="51"/>
        <v>4.3265868725710925E-6</v>
      </c>
      <c r="H1115" s="370">
        <f t="shared" si="52"/>
        <v>1.4815909935979873E-5</v>
      </c>
      <c r="I1115" s="331">
        <v>241056</v>
      </c>
      <c r="J1115" s="331">
        <v>0</v>
      </c>
      <c r="K1115" s="331">
        <f t="shared" si="53"/>
        <v>241056</v>
      </c>
      <c r="L1115" s="199">
        <v>2.5</v>
      </c>
      <c r="M1115" s="199">
        <v>1.02</v>
      </c>
    </row>
    <row r="1116" spans="1:13" ht="15" customHeight="1" x14ac:dyDescent="0.25">
      <c r="A1116" s="49">
        <v>2014</v>
      </c>
      <c r="B1116" s="330" t="s">
        <v>32</v>
      </c>
      <c r="C1116" s="331">
        <v>24608123323</v>
      </c>
      <c r="D1116" s="331">
        <v>6935305425</v>
      </c>
      <c r="E1116" s="331">
        <v>125011088</v>
      </c>
      <c r="F1116" s="331">
        <v>79262</v>
      </c>
      <c r="G1116" s="370">
        <f t="shared" si="51"/>
        <v>3.2209689036269464E-6</v>
      </c>
      <c r="H1116" s="370">
        <f t="shared" si="52"/>
        <v>1.1428768474172859E-5</v>
      </c>
      <c r="I1116" s="331">
        <v>281890</v>
      </c>
      <c r="J1116" s="331">
        <v>0</v>
      </c>
      <c r="K1116" s="331">
        <f t="shared" si="53"/>
        <v>281890</v>
      </c>
      <c r="L1116" s="333">
        <v>1.8025318329797999</v>
      </c>
      <c r="M1116" s="199">
        <v>1.02</v>
      </c>
    </row>
    <row r="1117" spans="1:13" ht="15" customHeight="1" x14ac:dyDescent="0.25">
      <c r="A1117" s="49">
        <v>2015</v>
      </c>
      <c r="B1117" s="330" t="s">
        <v>32</v>
      </c>
      <c r="C1117" s="334">
        <v>25700125000</v>
      </c>
      <c r="D1117" s="334">
        <v>7177488000</v>
      </c>
      <c r="E1117" s="334">
        <v>67902000</v>
      </c>
      <c r="F1117" s="331">
        <v>67164</v>
      </c>
      <c r="G1117" s="370">
        <f t="shared" si="51"/>
        <v>2.6133725030520279E-6</v>
      </c>
      <c r="H1117" s="370">
        <f t="shared" si="52"/>
        <v>9.3575914024516658E-6</v>
      </c>
      <c r="I1117" s="331">
        <v>289375</v>
      </c>
      <c r="J1117" s="199">
        <v>0</v>
      </c>
      <c r="K1117" s="331">
        <f t="shared" si="53"/>
        <v>289375</v>
      </c>
      <c r="L1117" s="199">
        <v>1.1000000000000001</v>
      </c>
      <c r="M1117" s="199">
        <v>1.03</v>
      </c>
    </row>
    <row r="1118" spans="1:13" ht="15" customHeight="1" x14ac:dyDescent="0.25">
      <c r="A1118" s="49">
        <v>1980</v>
      </c>
      <c r="B1118" s="330" t="s">
        <v>33</v>
      </c>
      <c r="C1118" s="331">
        <v>37292579421</v>
      </c>
      <c r="D1118" s="331">
        <v>16681467571</v>
      </c>
      <c r="E1118" s="331">
        <v>575938042</v>
      </c>
      <c r="F1118" s="331">
        <v>675735</v>
      </c>
      <c r="G1118" s="370">
        <f t="shared" si="51"/>
        <v>1.8119824653895721E-5</v>
      </c>
      <c r="H1118" s="370">
        <f t="shared" si="52"/>
        <v>4.0508126585621019E-5</v>
      </c>
      <c r="I1118" s="331">
        <v>155971</v>
      </c>
      <c r="J1118" s="331">
        <v>651928</v>
      </c>
      <c r="K1118" s="331">
        <f t="shared" si="53"/>
        <v>-495957</v>
      </c>
      <c r="L1118" s="199">
        <v>3.45</v>
      </c>
      <c r="M1118" s="199">
        <v>2.69</v>
      </c>
    </row>
    <row r="1119" spans="1:13" ht="15" customHeight="1" x14ac:dyDescent="0.25">
      <c r="A1119" s="49">
        <v>1981</v>
      </c>
      <c r="B1119" s="330" t="s">
        <v>33</v>
      </c>
      <c r="C1119" s="331">
        <v>40936273011</v>
      </c>
      <c r="D1119" s="331">
        <v>18186199526</v>
      </c>
      <c r="E1119" s="331">
        <v>601003269</v>
      </c>
      <c r="F1119" s="331">
        <v>659689</v>
      </c>
      <c r="G1119" s="370">
        <f t="shared" si="51"/>
        <v>1.6115023461533362E-5</v>
      </c>
      <c r="H1119" s="370">
        <f t="shared" si="52"/>
        <v>3.6274153874583416E-5</v>
      </c>
      <c r="I1119" s="331">
        <v>190311</v>
      </c>
      <c r="J1119" s="331">
        <v>612449</v>
      </c>
      <c r="K1119" s="331">
        <f t="shared" si="53"/>
        <v>-422138</v>
      </c>
      <c r="L1119" s="199">
        <v>3.3</v>
      </c>
      <c r="M1119" s="199">
        <v>2.69</v>
      </c>
    </row>
    <row r="1120" spans="1:13" ht="15" customHeight="1" x14ac:dyDescent="0.25">
      <c r="A1120" s="49">
        <v>1982</v>
      </c>
      <c r="B1120" s="330" t="s">
        <v>33</v>
      </c>
      <c r="C1120" s="331">
        <v>43592559670</v>
      </c>
      <c r="D1120" s="331">
        <v>19269715158</v>
      </c>
      <c r="E1120" s="331">
        <v>616884402</v>
      </c>
      <c r="F1120" s="331">
        <v>806780</v>
      </c>
      <c r="G1120" s="370">
        <f t="shared" si="51"/>
        <v>1.8507286704598323E-5</v>
      </c>
      <c r="H1120" s="370">
        <f t="shared" si="52"/>
        <v>4.1867769885797086E-5</v>
      </c>
      <c r="I1120" s="331">
        <v>97363</v>
      </c>
      <c r="J1120" s="331">
        <v>520720</v>
      </c>
      <c r="K1120" s="331">
        <f t="shared" si="53"/>
        <v>-423357</v>
      </c>
      <c r="L1120" s="199">
        <v>3.2</v>
      </c>
      <c r="M1120" s="199">
        <v>2.69</v>
      </c>
    </row>
    <row r="1121" spans="1:13" x14ac:dyDescent="0.25">
      <c r="A1121" s="49">
        <v>1983</v>
      </c>
      <c r="B1121" s="330" t="s">
        <v>33</v>
      </c>
      <c r="C1121" s="331">
        <v>47324956805</v>
      </c>
      <c r="D1121" s="331">
        <v>21051029425</v>
      </c>
      <c r="E1121" s="331">
        <v>662916723</v>
      </c>
      <c r="F1121" s="331">
        <v>688197</v>
      </c>
      <c r="G1121" s="370">
        <f t="shared" si="51"/>
        <v>1.4541946711872968E-5</v>
      </c>
      <c r="H1121" s="370">
        <f t="shared" si="52"/>
        <v>3.2691845425036736E-5</v>
      </c>
      <c r="I1121" s="331">
        <v>189988</v>
      </c>
      <c r="J1121" s="331">
        <v>422339</v>
      </c>
      <c r="K1121" s="331">
        <f t="shared" si="53"/>
        <v>-232351</v>
      </c>
      <c r="L1121" s="199">
        <v>3.15</v>
      </c>
      <c r="M1121" s="199">
        <v>2.69</v>
      </c>
    </row>
    <row r="1122" spans="1:13" ht="15" customHeight="1" x14ac:dyDescent="0.25">
      <c r="A1122" s="49">
        <v>1984</v>
      </c>
      <c r="B1122" s="330" t="s">
        <v>33</v>
      </c>
      <c r="C1122" s="331">
        <v>52933775203</v>
      </c>
      <c r="D1122" s="331">
        <v>24132143115</v>
      </c>
      <c r="E1122" s="331">
        <v>788147866</v>
      </c>
      <c r="F1122" s="331">
        <v>597952</v>
      </c>
      <c r="G1122" s="370">
        <f t="shared" si="51"/>
        <v>1.1296228121022272E-5</v>
      </c>
      <c r="H1122" s="370">
        <f t="shared" si="52"/>
        <v>2.4778238598640102E-5</v>
      </c>
      <c r="I1122" s="331">
        <v>499961</v>
      </c>
      <c r="J1122" s="331">
        <v>320382</v>
      </c>
      <c r="K1122" s="331">
        <f t="shared" si="53"/>
        <v>179579</v>
      </c>
      <c r="L1122" s="199">
        <v>3.27</v>
      </c>
      <c r="M1122" s="199">
        <v>2.69</v>
      </c>
    </row>
    <row r="1123" spans="1:13" ht="15" customHeight="1" x14ac:dyDescent="0.25">
      <c r="A1123" s="49">
        <v>1985</v>
      </c>
      <c r="B1123" s="330" t="s">
        <v>33</v>
      </c>
      <c r="C1123" s="331">
        <v>57465576433</v>
      </c>
      <c r="D1123" s="331">
        <v>26157757600</v>
      </c>
      <c r="E1123" s="331">
        <v>873373099</v>
      </c>
      <c r="F1123" s="331">
        <v>641316</v>
      </c>
      <c r="G1123" s="370">
        <f t="shared" si="51"/>
        <v>1.1160002906221957E-5</v>
      </c>
      <c r="H1123" s="370">
        <f t="shared" si="52"/>
        <v>2.4517239199433517E-5</v>
      </c>
      <c r="I1123" s="331">
        <v>769221</v>
      </c>
      <c r="J1123" s="331">
        <v>0</v>
      </c>
      <c r="K1123" s="331">
        <f t="shared" si="53"/>
        <v>769221</v>
      </c>
      <c r="L1123" s="199">
        <v>3.34</v>
      </c>
      <c r="M1123" s="199">
        <v>2.69</v>
      </c>
    </row>
    <row r="1124" spans="1:13" ht="15" customHeight="1" x14ac:dyDescent="0.25">
      <c r="A1124" s="49">
        <v>1986</v>
      </c>
      <c r="B1124" s="330" t="s">
        <v>33</v>
      </c>
      <c r="C1124" s="331">
        <v>62322143895</v>
      </c>
      <c r="D1124" s="331">
        <v>28413815586</v>
      </c>
      <c r="E1124" s="331">
        <v>846951281</v>
      </c>
      <c r="F1124" s="331">
        <v>629865</v>
      </c>
      <c r="G1124" s="370">
        <f t="shared" si="51"/>
        <v>1.0106600329109233E-5</v>
      </c>
      <c r="H1124" s="370">
        <f t="shared" si="52"/>
        <v>2.2167561343304623E-5</v>
      </c>
      <c r="I1124" s="331">
        <v>1259802</v>
      </c>
      <c r="J1124" s="331">
        <v>0</v>
      </c>
      <c r="K1124" s="331">
        <f t="shared" si="53"/>
        <v>1259802</v>
      </c>
      <c r="L1124" s="199">
        <v>2.98</v>
      </c>
      <c r="M1124" s="199">
        <v>2.69</v>
      </c>
    </row>
    <row r="1125" spans="1:13" ht="15" customHeight="1" x14ac:dyDescent="0.25">
      <c r="A1125" s="49">
        <v>1987</v>
      </c>
      <c r="B1125" s="330" t="s">
        <v>33</v>
      </c>
      <c r="C1125" s="331">
        <v>68874450152</v>
      </c>
      <c r="D1125" s="331">
        <v>31129471827</v>
      </c>
      <c r="E1125" s="331">
        <v>751539380</v>
      </c>
      <c r="F1125" s="331">
        <v>543012</v>
      </c>
      <c r="G1125" s="370">
        <f t="shared" si="51"/>
        <v>7.8840847193933178E-6</v>
      </c>
      <c r="H1125" s="370">
        <f t="shared" si="52"/>
        <v>1.7443662488645924E-5</v>
      </c>
      <c r="I1125" s="331">
        <v>1824173</v>
      </c>
      <c r="J1125" s="331">
        <v>0</v>
      </c>
      <c r="K1125" s="331">
        <f t="shared" si="53"/>
        <v>1824173</v>
      </c>
      <c r="L1125" s="199">
        <v>2.41</v>
      </c>
      <c r="M1125" s="199">
        <v>2.69</v>
      </c>
    </row>
    <row r="1126" spans="1:13" ht="15" customHeight="1" x14ac:dyDescent="0.25">
      <c r="A1126" s="49">
        <v>1988</v>
      </c>
      <c r="B1126" s="330" t="s">
        <v>33</v>
      </c>
      <c r="C1126" s="331">
        <v>75726298234</v>
      </c>
      <c r="D1126" s="331">
        <v>33543161141</v>
      </c>
      <c r="E1126" s="331">
        <v>718160364</v>
      </c>
      <c r="F1126" s="331">
        <v>581425</v>
      </c>
      <c r="G1126" s="370">
        <f t="shared" si="51"/>
        <v>7.6779799562280549E-6</v>
      </c>
      <c r="H1126" s="370">
        <f t="shared" si="52"/>
        <v>1.7333637624550563E-5</v>
      </c>
      <c r="I1126" s="331">
        <v>2364546</v>
      </c>
      <c r="J1126" s="331">
        <v>0</v>
      </c>
      <c r="K1126" s="331">
        <f t="shared" si="53"/>
        <v>2364546</v>
      </c>
      <c r="L1126" s="199">
        <v>2.14</v>
      </c>
      <c r="M1126" s="199">
        <v>2.69</v>
      </c>
    </row>
    <row r="1127" spans="1:13" ht="15" customHeight="1" x14ac:dyDescent="0.25">
      <c r="A1127" s="49">
        <v>1989</v>
      </c>
      <c r="B1127" s="330" t="s">
        <v>33</v>
      </c>
      <c r="C1127" s="331">
        <v>78991120644</v>
      </c>
      <c r="D1127" s="331">
        <v>35633308803</v>
      </c>
      <c r="E1127" s="331">
        <v>721718450</v>
      </c>
      <c r="F1127" s="331">
        <v>719601</v>
      </c>
      <c r="G1127" s="370">
        <f t="shared" si="51"/>
        <v>9.1098973420458674E-6</v>
      </c>
      <c r="H1127" s="370">
        <f t="shared" si="52"/>
        <v>2.0194616334349961E-5</v>
      </c>
      <c r="I1127" s="331">
        <v>2794979</v>
      </c>
      <c r="J1127" s="331">
        <v>0</v>
      </c>
      <c r="K1127" s="331">
        <f t="shared" si="53"/>
        <v>2794979</v>
      </c>
      <c r="L1127" s="199">
        <v>2.0299999999999998</v>
      </c>
      <c r="M1127" s="199">
        <v>2.69</v>
      </c>
    </row>
    <row r="1128" spans="1:13" ht="15" customHeight="1" x14ac:dyDescent="0.25">
      <c r="A1128" s="49">
        <v>1990</v>
      </c>
      <c r="B1128" s="330" t="s">
        <v>33</v>
      </c>
      <c r="C1128" s="331">
        <v>81786756839</v>
      </c>
      <c r="D1128" s="331">
        <v>37509586994</v>
      </c>
      <c r="E1128" s="331">
        <v>681917321</v>
      </c>
      <c r="F1128" s="331">
        <v>1026406</v>
      </c>
      <c r="G1128" s="370">
        <f t="shared" si="51"/>
        <v>1.2549782381278609E-5</v>
      </c>
      <c r="H1128" s="370">
        <f t="shared" si="52"/>
        <v>2.736383101643276E-5</v>
      </c>
      <c r="I1128" s="331">
        <v>2897131</v>
      </c>
      <c r="J1128" s="331">
        <v>0</v>
      </c>
      <c r="K1128" s="331">
        <f t="shared" si="53"/>
        <v>2897131</v>
      </c>
      <c r="L1128" s="199">
        <v>1.82</v>
      </c>
      <c r="M1128" s="199">
        <v>2.69</v>
      </c>
    </row>
    <row r="1129" spans="1:13" ht="15" customHeight="1" x14ac:dyDescent="0.25">
      <c r="A1129" s="49">
        <v>1991</v>
      </c>
      <c r="B1129" s="330" t="s">
        <v>33</v>
      </c>
      <c r="C1129" s="331">
        <v>81187363757</v>
      </c>
      <c r="D1129" s="331">
        <v>36839011377</v>
      </c>
      <c r="E1129" s="331">
        <v>687881565</v>
      </c>
      <c r="F1129" s="331">
        <v>1488130</v>
      </c>
      <c r="G1129" s="370">
        <f t="shared" si="51"/>
        <v>1.8329576563836794E-5</v>
      </c>
      <c r="H1129" s="370">
        <f t="shared" si="52"/>
        <v>4.0395492288620325E-5</v>
      </c>
      <c r="I1129" s="331">
        <v>2564278</v>
      </c>
      <c r="J1129" s="331">
        <v>0</v>
      </c>
      <c r="K1129" s="331">
        <f t="shared" si="53"/>
        <v>2564278</v>
      </c>
      <c r="L1129" s="199">
        <v>1.87</v>
      </c>
      <c r="M1129" s="199">
        <v>2.69</v>
      </c>
    </row>
    <row r="1130" spans="1:13" ht="15" customHeight="1" x14ac:dyDescent="0.25">
      <c r="A1130" s="49">
        <v>1992</v>
      </c>
      <c r="B1130" s="330" t="s">
        <v>33</v>
      </c>
      <c r="C1130" s="331">
        <v>85718763215</v>
      </c>
      <c r="D1130" s="331">
        <v>38131372480</v>
      </c>
      <c r="E1130" s="331">
        <v>775093130</v>
      </c>
      <c r="F1130" s="331">
        <v>1348482</v>
      </c>
      <c r="G1130" s="370">
        <f t="shared" si="51"/>
        <v>1.5731468227297381E-5</v>
      </c>
      <c r="H1130" s="370">
        <f t="shared" si="52"/>
        <v>3.5364108666880062E-5</v>
      </c>
      <c r="I1130" s="331">
        <v>2439970</v>
      </c>
      <c r="J1130" s="331">
        <v>0</v>
      </c>
      <c r="K1130" s="331">
        <f t="shared" si="53"/>
        <v>2439970</v>
      </c>
      <c r="L1130" s="199">
        <v>2.0299999999999998</v>
      </c>
      <c r="M1130" s="199">
        <v>2.69</v>
      </c>
    </row>
    <row r="1131" spans="1:13" ht="15" customHeight="1" x14ac:dyDescent="0.25">
      <c r="A1131" s="49">
        <v>1993</v>
      </c>
      <c r="B1131" s="330" t="s">
        <v>33</v>
      </c>
      <c r="C1131" s="331">
        <v>88201282591</v>
      </c>
      <c r="D1131" s="331">
        <v>40206487741</v>
      </c>
      <c r="E1131" s="331">
        <v>453760142</v>
      </c>
      <c r="F1131" s="331">
        <v>1193610</v>
      </c>
      <c r="G1131" s="370">
        <f t="shared" si="51"/>
        <v>1.3532796405409587E-5</v>
      </c>
      <c r="H1131" s="370">
        <f t="shared" si="52"/>
        <v>2.9686999961024523E-5</v>
      </c>
      <c r="I1131" s="331">
        <v>1965236</v>
      </c>
      <c r="J1131" s="331">
        <v>0</v>
      </c>
      <c r="K1131" s="331">
        <f t="shared" si="53"/>
        <v>1965236</v>
      </c>
      <c r="L1131" s="199">
        <v>1.1299999999999999</v>
      </c>
      <c r="M1131" s="199">
        <v>2.69</v>
      </c>
    </row>
    <row r="1132" spans="1:13" ht="15" customHeight="1" x14ac:dyDescent="0.25">
      <c r="A1132" s="49">
        <v>1994</v>
      </c>
      <c r="B1132" s="330" t="s">
        <v>33</v>
      </c>
      <c r="C1132" s="331">
        <v>91569141042</v>
      </c>
      <c r="D1132" s="331">
        <v>43231732054</v>
      </c>
      <c r="E1132" s="331">
        <v>759515443</v>
      </c>
      <c r="F1132" s="331">
        <v>1200550</v>
      </c>
      <c r="G1132" s="370">
        <f t="shared" si="51"/>
        <v>1.3110857941206896E-5</v>
      </c>
      <c r="H1132" s="370">
        <f t="shared" si="52"/>
        <v>2.7770111049458163E-5</v>
      </c>
      <c r="I1132" s="331">
        <v>1947033</v>
      </c>
      <c r="J1132" s="331">
        <v>0</v>
      </c>
      <c r="K1132" s="331">
        <f t="shared" si="53"/>
        <v>1947033</v>
      </c>
      <c r="L1132" s="199">
        <v>1.76</v>
      </c>
      <c r="M1132" s="199">
        <v>2.67</v>
      </c>
    </row>
    <row r="1133" spans="1:13" ht="15" customHeight="1" x14ac:dyDescent="0.25">
      <c r="A1133" s="49">
        <v>1995</v>
      </c>
      <c r="B1133" s="330" t="s">
        <v>33</v>
      </c>
      <c r="C1133" s="331">
        <v>96095062909</v>
      </c>
      <c r="D1133" s="331">
        <v>44633905153</v>
      </c>
      <c r="E1133" s="331">
        <v>839949031</v>
      </c>
      <c r="F1133" s="331">
        <v>1253780</v>
      </c>
      <c r="G1133" s="370">
        <f t="shared" si="51"/>
        <v>1.3047288404268004E-5</v>
      </c>
      <c r="H1133" s="370">
        <f t="shared" si="52"/>
        <v>2.8090304796369113E-5</v>
      </c>
      <c r="I1133" s="331">
        <v>1987790</v>
      </c>
      <c r="J1133" s="331">
        <v>0</v>
      </c>
      <c r="K1133" s="331">
        <f t="shared" si="53"/>
        <v>1987790</v>
      </c>
      <c r="L1133" s="199">
        <v>1.88</v>
      </c>
      <c r="M1133" s="199">
        <v>2.23</v>
      </c>
    </row>
    <row r="1134" spans="1:13" ht="15" customHeight="1" x14ac:dyDescent="0.25">
      <c r="A1134" s="49">
        <v>1996</v>
      </c>
      <c r="B1134" s="330" t="s">
        <v>33</v>
      </c>
      <c r="C1134" s="331">
        <v>101529842690</v>
      </c>
      <c r="D1134" s="331">
        <v>46476381476</v>
      </c>
      <c r="E1134" s="331">
        <v>1177227208</v>
      </c>
      <c r="F1134" s="331">
        <v>1356510</v>
      </c>
      <c r="G1134" s="370">
        <f t="shared" si="51"/>
        <v>1.3360702272944691E-5</v>
      </c>
      <c r="H1134" s="370">
        <f t="shared" si="52"/>
        <v>2.9187082920827001E-5</v>
      </c>
      <c r="I1134" s="331">
        <v>2028818</v>
      </c>
      <c r="J1134" s="331">
        <v>0</v>
      </c>
      <c r="K1134" s="331">
        <f t="shared" si="53"/>
        <v>2028818</v>
      </c>
      <c r="L1134" s="199">
        <v>2.5299999999999998</v>
      </c>
      <c r="M1134" s="199">
        <v>2.04</v>
      </c>
    </row>
    <row r="1135" spans="1:13" ht="15" customHeight="1" x14ac:dyDescent="0.25">
      <c r="A1135" s="49">
        <v>1997</v>
      </c>
      <c r="B1135" s="330" t="s">
        <v>33</v>
      </c>
      <c r="C1135" s="331">
        <v>109269348830</v>
      </c>
      <c r="D1135" s="331">
        <v>49254602466</v>
      </c>
      <c r="E1135" s="331">
        <v>1251225735</v>
      </c>
      <c r="F1135" s="331">
        <v>1059563</v>
      </c>
      <c r="G1135" s="370">
        <f t="shared" si="51"/>
        <v>9.6967998010902027E-6</v>
      </c>
      <c r="H1135" s="370">
        <f t="shared" si="52"/>
        <v>2.1511959227189105E-5</v>
      </c>
      <c r="I1135" s="331">
        <v>2384916</v>
      </c>
      <c r="J1135" s="331">
        <v>0</v>
      </c>
      <c r="K1135" s="331">
        <f t="shared" si="53"/>
        <v>2384916</v>
      </c>
      <c r="L1135" s="199">
        <v>2.54</v>
      </c>
      <c r="M1135" s="199">
        <v>1.95</v>
      </c>
    </row>
    <row r="1136" spans="1:13" ht="15" customHeight="1" x14ac:dyDescent="0.25">
      <c r="A1136" s="49">
        <v>1998</v>
      </c>
      <c r="B1136" s="330" t="s">
        <v>33</v>
      </c>
      <c r="C1136" s="331">
        <v>118751247668</v>
      </c>
      <c r="D1136" s="331">
        <v>52476797887</v>
      </c>
      <c r="E1136" s="331">
        <v>1090181691</v>
      </c>
      <c r="F1136" s="331">
        <v>1030756</v>
      </c>
      <c r="G1136" s="370">
        <f t="shared" si="51"/>
        <v>8.6799593287789821E-6</v>
      </c>
      <c r="H1136" s="370">
        <f t="shared" si="52"/>
        <v>1.9642128359652594E-5</v>
      </c>
      <c r="I1136" s="331">
        <v>2676386</v>
      </c>
      <c r="J1136" s="331">
        <v>0</v>
      </c>
      <c r="K1136" s="331">
        <f t="shared" si="53"/>
        <v>2676386</v>
      </c>
      <c r="L1136" s="199">
        <v>2.1800000000000002</v>
      </c>
      <c r="M1136" s="199">
        <v>1.92</v>
      </c>
    </row>
    <row r="1137" spans="1:13" ht="15" customHeight="1" x14ac:dyDescent="0.25">
      <c r="A1137" s="49">
        <v>1999</v>
      </c>
      <c r="B1137" s="330" t="s">
        <v>33</v>
      </c>
      <c r="C1137" s="331">
        <v>127735145800</v>
      </c>
      <c r="D1137" s="331">
        <v>56280762307</v>
      </c>
      <c r="E1137" s="331">
        <v>1069021038</v>
      </c>
      <c r="F1137" s="331">
        <v>1024551</v>
      </c>
      <c r="G1137" s="370">
        <f t="shared" si="51"/>
        <v>8.0209013234633181E-6</v>
      </c>
      <c r="H1137" s="370">
        <f t="shared" si="52"/>
        <v>1.8204284341624313E-5</v>
      </c>
      <c r="I1137" s="331">
        <v>2708795</v>
      </c>
      <c r="J1137" s="331">
        <v>0</v>
      </c>
      <c r="K1137" s="331">
        <f t="shared" si="53"/>
        <v>2708795</v>
      </c>
      <c r="L1137" s="199">
        <v>1.88</v>
      </c>
      <c r="M1137" s="199">
        <v>1.92</v>
      </c>
    </row>
    <row r="1138" spans="1:13" ht="15" customHeight="1" x14ac:dyDescent="0.25">
      <c r="A1138" s="49">
        <v>2000</v>
      </c>
      <c r="B1138" s="330" t="s">
        <v>33</v>
      </c>
      <c r="C1138" s="331">
        <v>140322278084</v>
      </c>
      <c r="D1138" s="331">
        <v>60413858871</v>
      </c>
      <c r="E1138" s="331">
        <v>1220379830</v>
      </c>
      <c r="F1138" s="331">
        <v>1074571</v>
      </c>
      <c r="G1138" s="370">
        <f t="shared" si="51"/>
        <v>7.6578788106385942E-6</v>
      </c>
      <c r="H1138" s="370">
        <f t="shared" si="52"/>
        <v>1.7786829381226931E-5</v>
      </c>
      <c r="I1138" s="331">
        <v>3086440</v>
      </c>
      <c r="J1138" s="331">
        <v>0</v>
      </c>
      <c r="K1138" s="331">
        <f t="shared" si="53"/>
        <v>3086440</v>
      </c>
      <c r="L1138" s="199">
        <v>2.02</v>
      </c>
      <c r="M1138" s="199">
        <v>1.92</v>
      </c>
    </row>
    <row r="1139" spans="1:13" ht="15" customHeight="1" x14ac:dyDescent="0.25">
      <c r="A1139" s="49">
        <v>2001</v>
      </c>
      <c r="B1139" s="330" t="s">
        <v>33</v>
      </c>
      <c r="C1139" s="331">
        <v>140838250775</v>
      </c>
      <c r="D1139" s="331">
        <v>63325807024</v>
      </c>
      <c r="E1139" s="331">
        <v>1283252330</v>
      </c>
      <c r="F1139" s="331">
        <v>1478197</v>
      </c>
      <c r="G1139" s="370">
        <f t="shared" si="51"/>
        <v>1.0495706896853853E-5</v>
      </c>
      <c r="H1139" s="370">
        <f t="shared" si="52"/>
        <v>2.3342726598648393E-5</v>
      </c>
      <c r="I1139" s="331">
        <v>3121668</v>
      </c>
      <c r="J1139" s="331">
        <v>0</v>
      </c>
      <c r="K1139" s="331">
        <f t="shared" si="53"/>
        <v>3121668</v>
      </c>
      <c r="L1139" s="199">
        <v>2.0299999999999998</v>
      </c>
      <c r="M1139" s="199">
        <v>1.84</v>
      </c>
    </row>
    <row r="1140" spans="1:13" ht="15" customHeight="1" x14ac:dyDescent="0.25">
      <c r="A1140" s="49">
        <v>2002</v>
      </c>
      <c r="B1140" s="330" t="s">
        <v>33</v>
      </c>
      <c r="C1140" s="331">
        <v>141603883027</v>
      </c>
      <c r="D1140" s="331">
        <v>64630485270</v>
      </c>
      <c r="E1140" s="331">
        <v>1207763929</v>
      </c>
      <c r="F1140" s="331">
        <v>2002931</v>
      </c>
      <c r="G1140" s="370">
        <f t="shared" si="51"/>
        <v>1.4144605057321032E-5</v>
      </c>
      <c r="H1140" s="370">
        <f t="shared" si="52"/>
        <v>3.0990499168195398E-5</v>
      </c>
      <c r="I1140" s="331">
        <v>2306251</v>
      </c>
      <c r="J1140" s="331">
        <v>0</v>
      </c>
      <c r="K1140" s="331">
        <f t="shared" si="53"/>
        <v>2306251</v>
      </c>
      <c r="L1140" s="199">
        <v>1.87</v>
      </c>
      <c r="M1140" s="199">
        <v>1.84</v>
      </c>
    </row>
    <row r="1141" spans="1:13" ht="15" customHeight="1" x14ac:dyDescent="0.25">
      <c r="A1141" s="49">
        <v>2003</v>
      </c>
      <c r="B1141" s="330" t="s">
        <v>33</v>
      </c>
      <c r="C1141" s="331">
        <v>144310792252</v>
      </c>
      <c r="D1141" s="331">
        <v>65529012281</v>
      </c>
      <c r="E1141" s="331">
        <v>1090290448</v>
      </c>
      <c r="F1141" s="331">
        <v>1999066</v>
      </c>
      <c r="G1141" s="370">
        <f t="shared" si="51"/>
        <v>1.3852505199397484E-5</v>
      </c>
      <c r="H1141" s="370">
        <f t="shared" si="52"/>
        <v>3.0506579153484738E-5</v>
      </c>
      <c r="I1141" s="331">
        <v>1513268</v>
      </c>
      <c r="J1141" s="331">
        <v>0</v>
      </c>
      <c r="K1141" s="331">
        <f t="shared" si="53"/>
        <v>1513268</v>
      </c>
      <c r="L1141" s="199">
        <v>1.66</v>
      </c>
      <c r="M1141" s="199">
        <v>1.84</v>
      </c>
    </row>
    <row r="1142" spans="1:13" ht="15" customHeight="1" x14ac:dyDescent="0.25">
      <c r="A1142" s="49">
        <v>2004</v>
      </c>
      <c r="B1142" s="330" t="s">
        <v>33</v>
      </c>
      <c r="C1142" s="331">
        <v>150165037986</v>
      </c>
      <c r="D1142" s="331">
        <v>67325638347</v>
      </c>
      <c r="E1142" s="331">
        <v>1211299555</v>
      </c>
      <c r="F1142" s="331">
        <v>1840552</v>
      </c>
      <c r="G1142" s="370">
        <f t="shared" si="51"/>
        <v>1.2256861015621999E-5</v>
      </c>
      <c r="H1142" s="370">
        <f t="shared" si="52"/>
        <v>2.7338054939987274E-5</v>
      </c>
      <c r="I1142" s="331">
        <v>1001771</v>
      </c>
      <c r="J1142" s="331">
        <v>0</v>
      </c>
      <c r="K1142" s="331">
        <f t="shared" si="53"/>
        <v>1001771</v>
      </c>
      <c r="L1142" s="199">
        <v>1.8</v>
      </c>
      <c r="M1142" s="199">
        <v>1.84</v>
      </c>
    </row>
    <row r="1143" spans="1:13" ht="15" customHeight="1" x14ac:dyDescent="0.25">
      <c r="A1143" s="49">
        <v>2005</v>
      </c>
      <c r="B1143" s="330" t="s">
        <v>33</v>
      </c>
      <c r="C1143" s="331">
        <v>155902842016</v>
      </c>
      <c r="D1143" s="331">
        <v>69913516897</v>
      </c>
      <c r="E1143" s="331">
        <v>1320779762</v>
      </c>
      <c r="F1143" s="331">
        <v>1731312</v>
      </c>
      <c r="G1143" s="370">
        <f t="shared" si="51"/>
        <v>1.1105070168139199E-5</v>
      </c>
      <c r="H1143" s="370">
        <f t="shared" si="52"/>
        <v>2.4763623356991943E-5</v>
      </c>
      <c r="I1143" s="331">
        <v>914608</v>
      </c>
      <c r="J1143" s="331">
        <v>0</v>
      </c>
      <c r="K1143" s="331">
        <f t="shared" si="53"/>
        <v>914608</v>
      </c>
      <c r="L1143" s="199">
        <v>1.89</v>
      </c>
      <c r="M1143" s="199">
        <v>1.84</v>
      </c>
    </row>
    <row r="1144" spans="1:13" ht="15" customHeight="1" x14ac:dyDescent="0.25">
      <c r="A1144" s="49">
        <v>2006</v>
      </c>
      <c r="B1144" s="330" t="s">
        <v>33</v>
      </c>
      <c r="C1144" s="331">
        <v>163993835188</v>
      </c>
      <c r="D1144" s="331">
        <v>72475270557</v>
      </c>
      <c r="E1144" s="331">
        <v>1172064317</v>
      </c>
      <c r="F1144" s="331">
        <v>1674375</v>
      </c>
      <c r="G1144" s="370">
        <f t="shared" si="51"/>
        <v>1.020998745520234E-5</v>
      </c>
      <c r="H1144" s="370">
        <f t="shared" si="52"/>
        <v>2.3102707822016968E-5</v>
      </c>
      <c r="I1144" s="331">
        <v>693638</v>
      </c>
      <c r="J1144" s="331">
        <v>0</v>
      </c>
      <c r="K1144" s="331">
        <f t="shared" si="53"/>
        <v>693638</v>
      </c>
      <c r="L1144" s="199">
        <v>1.62</v>
      </c>
      <c r="M1144" s="199">
        <v>1.84</v>
      </c>
    </row>
    <row r="1145" spans="1:13" ht="15" customHeight="1" x14ac:dyDescent="0.25">
      <c r="A1145" s="49">
        <v>2007</v>
      </c>
      <c r="B1145" s="330" t="s">
        <v>33</v>
      </c>
      <c r="C1145" s="331">
        <v>171588788475</v>
      </c>
      <c r="D1145" s="331">
        <v>74809864098</v>
      </c>
      <c r="E1145" s="331">
        <v>1516251681</v>
      </c>
      <c r="F1145" s="331">
        <v>1819158</v>
      </c>
      <c r="G1145" s="370">
        <f t="shared" si="51"/>
        <v>1.0601846520205754E-5</v>
      </c>
      <c r="H1145" s="370">
        <f t="shared" si="52"/>
        <v>2.4317087351167025E-5</v>
      </c>
      <c r="I1145" s="331">
        <v>650449</v>
      </c>
      <c r="J1145" s="331">
        <v>0</v>
      </c>
      <c r="K1145" s="331">
        <f t="shared" si="53"/>
        <v>650449</v>
      </c>
      <c r="L1145" s="199">
        <v>2.0299999999999998</v>
      </c>
      <c r="M1145" s="199">
        <v>1.84</v>
      </c>
    </row>
    <row r="1146" spans="1:13" ht="15" customHeight="1" x14ac:dyDescent="0.25">
      <c r="A1146" s="49">
        <v>2008</v>
      </c>
      <c r="B1146" s="330" t="s">
        <v>33</v>
      </c>
      <c r="C1146" s="331">
        <v>174075052375</v>
      </c>
      <c r="D1146" s="331">
        <v>76701293807</v>
      </c>
      <c r="E1146" s="331">
        <v>1538049340</v>
      </c>
      <c r="F1146" s="331">
        <v>2215055</v>
      </c>
      <c r="G1146" s="370">
        <f t="shared" si="51"/>
        <v>1.2724712529330353E-5</v>
      </c>
      <c r="H1146" s="370">
        <f t="shared" si="52"/>
        <v>2.8878978307375658E-5</v>
      </c>
      <c r="I1146" s="331">
        <v>516779</v>
      </c>
      <c r="J1146" s="331">
        <v>0</v>
      </c>
      <c r="K1146" s="331">
        <f t="shared" si="53"/>
        <v>516779</v>
      </c>
      <c r="L1146" s="199">
        <v>2</v>
      </c>
      <c r="M1146" s="199">
        <v>1.84</v>
      </c>
    </row>
    <row r="1147" spans="1:13" ht="15" customHeight="1" x14ac:dyDescent="0.25">
      <c r="A1147" s="49">
        <v>2009</v>
      </c>
      <c r="B1147" s="330" t="s">
        <v>33</v>
      </c>
      <c r="C1147" s="331">
        <v>163682729694</v>
      </c>
      <c r="D1147" s="331">
        <v>73196872729</v>
      </c>
      <c r="E1147" s="331">
        <v>1508486868</v>
      </c>
      <c r="F1147" s="331">
        <v>3467870</v>
      </c>
      <c r="G1147" s="370">
        <f t="shared" si="51"/>
        <v>2.1186535723610425E-5</v>
      </c>
      <c r="H1147" s="370">
        <f t="shared" si="52"/>
        <v>4.7377297290271506E-5</v>
      </c>
      <c r="I1147" s="331">
        <v>69478</v>
      </c>
      <c r="J1147" s="331">
        <v>964118</v>
      </c>
      <c r="K1147" s="331">
        <f t="shared" si="53"/>
        <v>-894640</v>
      </c>
      <c r="L1147" s="199">
        <v>2.1</v>
      </c>
      <c r="M1147" s="199">
        <v>1.84</v>
      </c>
    </row>
    <row r="1148" spans="1:13" ht="15" customHeight="1" x14ac:dyDescent="0.25">
      <c r="A1148" s="49">
        <v>2010</v>
      </c>
      <c r="B1148" s="330" t="s">
        <v>33</v>
      </c>
      <c r="C1148" s="331">
        <v>166167936860</v>
      </c>
      <c r="D1148" s="331">
        <v>74381766552</v>
      </c>
      <c r="E1148" s="331">
        <v>1864364133</v>
      </c>
      <c r="F1148" s="331">
        <v>2712764</v>
      </c>
      <c r="G1148" s="370">
        <f t="shared" si="51"/>
        <v>1.6325435888907743E-5</v>
      </c>
      <c r="H1148" s="370">
        <f t="shared" si="52"/>
        <v>3.6470819741872054E-5</v>
      </c>
      <c r="I1148" s="331">
        <v>35807</v>
      </c>
      <c r="J1148" s="331">
        <v>1607867</v>
      </c>
      <c r="K1148" s="331">
        <f t="shared" si="53"/>
        <v>-1572060</v>
      </c>
      <c r="L1148" s="199">
        <v>2.5</v>
      </c>
      <c r="M1148" s="199">
        <v>1.86</v>
      </c>
    </row>
    <row r="1149" spans="1:13" ht="15" customHeight="1" x14ac:dyDescent="0.25">
      <c r="A1149" s="49">
        <v>2011</v>
      </c>
      <c r="B1149" s="330" t="s">
        <v>33</v>
      </c>
      <c r="C1149" s="331">
        <v>170681269179</v>
      </c>
      <c r="D1149" s="331">
        <v>74942620996</v>
      </c>
      <c r="E1149" s="331">
        <v>2238657782</v>
      </c>
      <c r="F1149" s="331">
        <v>2368912</v>
      </c>
      <c r="G1149" s="370">
        <f t="shared" si="51"/>
        <v>1.3879156227246184E-5</v>
      </c>
      <c r="H1149" s="370">
        <f t="shared" si="52"/>
        <v>3.1609676423332441E-5</v>
      </c>
      <c r="I1149" s="331">
        <v>32349</v>
      </c>
      <c r="J1149" s="331">
        <v>1468558</v>
      </c>
      <c r="K1149" s="331">
        <f t="shared" si="53"/>
        <v>-1436209</v>
      </c>
      <c r="L1149" s="199">
        <v>3</v>
      </c>
      <c r="M1149" s="199">
        <v>1.86</v>
      </c>
    </row>
    <row r="1150" spans="1:13" ht="15" customHeight="1" x14ac:dyDescent="0.25">
      <c r="A1150" s="49">
        <v>2012</v>
      </c>
      <c r="B1150" s="330" t="s">
        <v>33</v>
      </c>
      <c r="C1150" s="331">
        <v>176442041240</v>
      </c>
      <c r="D1150" s="331">
        <v>77055034873</v>
      </c>
      <c r="E1150" s="331">
        <v>2461840192</v>
      </c>
      <c r="F1150" s="331">
        <v>2324269</v>
      </c>
      <c r="G1150" s="370">
        <f t="shared" si="51"/>
        <v>1.3172988612382254E-5</v>
      </c>
      <c r="H1150" s="370">
        <f t="shared" si="52"/>
        <v>3.0163752489773013E-5</v>
      </c>
      <c r="I1150" s="331">
        <v>32574</v>
      </c>
      <c r="J1150" s="331">
        <v>930835</v>
      </c>
      <c r="K1150" s="331">
        <f t="shared" si="53"/>
        <v>-898261</v>
      </c>
      <c r="L1150" s="199">
        <v>3.19</v>
      </c>
      <c r="M1150" s="199">
        <v>1.86</v>
      </c>
    </row>
    <row r="1151" spans="1:13" ht="15" customHeight="1" x14ac:dyDescent="0.25">
      <c r="A1151" s="49">
        <v>2013</v>
      </c>
      <c r="B1151" s="330" t="s">
        <v>33</v>
      </c>
      <c r="C1151" s="331">
        <v>181530729402</v>
      </c>
      <c r="D1151" s="331">
        <v>79411149091</v>
      </c>
      <c r="E1151" s="331">
        <v>2514215678</v>
      </c>
      <c r="F1151" s="331">
        <v>2176898</v>
      </c>
      <c r="G1151" s="370">
        <f t="shared" si="51"/>
        <v>1.1991898050380533E-5</v>
      </c>
      <c r="H1151" s="370">
        <f t="shared" si="52"/>
        <v>2.7413002140359623E-5</v>
      </c>
      <c r="I1151" s="331">
        <v>33023</v>
      </c>
      <c r="J1151" s="331">
        <v>146239</v>
      </c>
      <c r="K1151" s="331">
        <f t="shared" si="53"/>
        <v>-113216</v>
      </c>
      <c r="L1151" s="199">
        <v>3.17</v>
      </c>
      <c r="M1151" s="199">
        <v>1.86</v>
      </c>
    </row>
    <row r="1152" spans="1:13" ht="15" customHeight="1" x14ac:dyDescent="0.25">
      <c r="A1152" s="49">
        <v>2014</v>
      </c>
      <c r="B1152" s="330" t="s">
        <v>33</v>
      </c>
      <c r="C1152" s="331">
        <v>186777763707</v>
      </c>
      <c r="D1152" s="331">
        <v>81846706996</v>
      </c>
      <c r="E1152" s="331">
        <v>2372345265</v>
      </c>
      <c r="F1152" s="331">
        <v>2087138</v>
      </c>
      <c r="G1152" s="370">
        <f t="shared" si="51"/>
        <v>1.1174445815049551E-5</v>
      </c>
      <c r="H1152" s="370">
        <f t="shared" si="52"/>
        <v>2.5500573897273623E-5</v>
      </c>
      <c r="I1152" s="331">
        <v>496388</v>
      </c>
      <c r="J1152" s="331">
        <v>0</v>
      </c>
      <c r="K1152" s="331">
        <f t="shared" si="53"/>
        <v>496388</v>
      </c>
      <c r="L1152" s="333">
        <v>2.8985225576832812</v>
      </c>
      <c r="M1152" s="199">
        <v>1.86</v>
      </c>
    </row>
    <row r="1153" spans="1:13" ht="15" customHeight="1" x14ac:dyDescent="0.25">
      <c r="A1153" s="49">
        <v>2015</v>
      </c>
      <c r="B1153" s="330" t="s">
        <v>33</v>
      </c>
      <c r="C1153" s="334">
        <v>195439259000</v>
      </c>
      <c r="D1153" s="334">
        <v>84901546000</v>
      </c>
      <c r="E1153" s="334">
        <v>2612551000</v>
      </c>
      <c r="F1153" s="331">
        <v>1864449</v>
      </c>
      <c r="G1153" s="370">
        <f t="shared" si="51"/>
        <v>9.5397874999106504E-6</v>
      </c>
      <c r="H1153" s="370">
        <f t="shared" si="52"/>
        <v>2.1960130148866781E-5</v>
      </c>
      <c r="I1153" s="331">
        <v>1194644</v>
      </c>
      <c r="J1153" s="199">
        <v>0</v>
      </c>
      <c r="K1153" s="331">
        <f t="shared" si="53"/>
        <v>1194644</v>
      </c>
      <c r="L1153" s="199">
        <v>2.7</v>
      </c>
      <c r="M1153" s="199">
        <v>1.86</v>
      </c>
    </row>
    <row r="1154" spans="1:13" ht="15" customHeight="1" x14ac:dyDescent="0.25">
      <c r="A1154" s="49">
        <v>1980</v>
      </c>
      <c r="B1154" s="330" t="s">
        <v>34</v>
      </c>
      <c r="C1154" s="331">
        <v>4156210646</v>
      </c>
      <c r="D1154" s="331">
        <v>2244123990</v>
      </c>
      <c r="E1154" s="331">
        <v>38593549</v>
      </c>
      <c r="F1154" s="331">
        <v>33465</v>
      </c>
      <c r="G1154" s="370">
        <f t="shared" ref="G1154:G1217" si="54">F1154/C1154</f>
        <v>8.0518055628886911E-6</v>
      </c>
      <c r="H1154" s="370">
        <f t="shared" ref="H1154:H1217" si="55">F1154/D1154</f>
        <v>1.4912277641129802E-5</v>
      </c>
      <c r="I1154" s="331">
        <v>95792</v>
      </c>
      <c r="J1154" s="331">
        <v>0</v>
      </c>
      <c r="K1154" s="331">
        <f t="shared" ref="K1154:K1217" si="56">I1154-J1154</f>
        <v>95792</v>
      </c>
      <c r="L1154" s="199">
        <v>1.72</v>
      </c>
      <c r="M1154" s="199">
        <v>1.37</v>
      </c>
    </row>
    <row r="1155" spans="1:13" ht="15" customHeight="1" x14ac:dyDescent="0.25">
      <c r="A1155" s="49">
        <v>1981</v>
      </c>
      <c r="B1155" s="330" t="s">
        <v>34</v>
      </c>
      <c r="C1155" s="331">
        <v>4713517210</v>
      </c>
      <c r="D1155" s="331">
        <v>2573933809</v>
      </c>
      <c r="E1155" s="331">
        <v>43668687</v>
      </c>
      <c r="F1155" s="331">
        <v>34706</v>
      </c>
      <c r="G1155" s="370">
        <f t="shared" si="54"/>
        <v>7.3630790880256484E-6</v>
      </c>
      <c r="H1155" s="370">
        <f t="shared" si="55"/>
        <v>1.3483641218219065E-5</v>
      </c>
      <c r="I1155" s="331">
        <v>114493</v>
      </c>
      <c r="J1155" s="331">
        <v>0</v>
      </c>
      <c r="K1155" s="331">
        <f t="shared" si="56"/>
        <v>114493</v>
      </c>
      <c r="L1155" s="199">
        <v>1.7</v>
      </c>
      <c r="M1155" s="199">
        <v>1.2</v>
      </c>
    </row>
    <row r="1156" spans="1:13" x14ac:dyDescent="0.25">
      <c r="A1156" s="49">
        <v>1982</v>
      </c>
      <c r="B1156" s="330" t="s">
        <v>34</v>
      </c>
      <c r="C1156" s="331">
        <v>4994876223</v>
      </c>
      <c r="D1156" s="331">
        <v>2699835666</v>
      </c>
      <c r="E1156" s="331">
        <v>45313149</v>
      </c>
      <c r="F1156" s="331">
        <v>68140</v>
      </c>
      <c r="G1156" s="370">
        <f t="shared" si="54"/>
        <v>1.3641979692356432E-5</v>
      </c>
      <c r="H1156" s="370">
        <f t="shared" si="55"/>
        <v>2.5238573168771523E-5</v>
      </c>
      <c r="I1156" s="331">
        <v>101427</v>
      </c>
      <c r="J1156" s="331">
        <v>0</v>
      </c>
      <c r="K1156" s="331">
        <f t="shared" si="56"/>
        <v>101427</v>
      </c>
      <c r="L1156" s="199">
        <v>1.68</v>
      </c>
      <c r="M1156" s="199">
        <v>1.3</v>
      </c>
    </row>
    <row r="1157" spans="1:13" ht="15" customHeight="1" x14ac:dyDescent="0.25">
      <c r="A1157" s="49">
        <v>1983</v>
      </c>
      <c r="B1157" s="330" t="s">
        <v>34</v>
      </c>
      <c r="C1157" s="331">
        <v>5179320989</v>
      </c>
      <c r="D1157" s="331">
        <v>2859345386</v>
      </c>
      <c r="E1157" s="331">
        <v>48379567</v>
      </c>
      <c r="F1157" s="331">
        <v>76475</v>
      </c>
      <c r="G1157" s="370">
        <f t="shared" si="54"/>
        <v>1.4765449015888364E-5</v>
      </c>
      <c r="H1157" s="370">
        <f t="shared" si="55"/>
        <v>2.6745632190654144E-5</v>
      </c>
      <c r="I1157" s="331">
        <v>78460</v>
      </c>
      <c r="J1157" s="331">
        <v>0</v>
      </c>
      <c r="K1157" s="331">
        <f t="shared" si="56"/>
        <v>78460</v>
      </c>
      <c r="L1157" s="199">
        <v>1.69</v>
      </c>
      <c r="M1157" s="199">
        <v>1.43</v>
      </c>
    </row>
    <row r="1158" spans="1:13" ht="15" customHeight="1" x14ac:dyDescent="0.25">
      <c r="A1158" s="49">
        <v>1984</v>
      </c>
      <c r="B1158" s="330" t="s">
        <v>34</v>
      </c>
      <c r="C1158" s="331">
        <v>5660192694</v>
      </c>
      <c r="D1158" s="331">
        <v>3154810925</v>
      </c>
      <c r="E1158" s="331">
        <v>65433726</v>
      </c>
      <c r="F1158" s="331">
        <v>57119</v>
      </c>
      <c r="G1158" s="370">
        <f t="shared" si="54"/>
        <v>1.0091352554224543E-5</v>
      </c>
      <c r="H1158" s="370">
        <f t="shared" si="55"/>
        <v>1.810536395299189E-5</v>
      </c>
      <c r="I1158" s="331">
        <v>92904</v>
      </c>
      <c r="J1158" s="331">
        <v>0</v>
      </c>
      <c r="K1158" s="331">
        <f t="shared" si="56"/>
        <v>92904</v>
      </c>
      <c r="L1158" s="199">
        <v>2.0699999999999998</v>
      </c>
      <c r="M1158" s="199">
        <v>1.43</v>
      </c>
    </row>
    <row r="1159" spans="1:13" ht="15" customHeight="1" x14ac:dyDescent="0.25">
      <c r="A1159" s="49">
        <v>1985</v>
      </c>
      <c r="B1159" s="330" t="s">
        <v>34</v>
      </c>
      <c r="C1159" s="331">
        <v>6106810158</v>
      </c>
      <c r="D1159" s="331">
        <v>3347232800</v>
      </c>
      <c r="E1159" s="331">
        <v>69569478</v>
      </c>
      <c r="F1159" s="331">
        <v>59202</v>
      </c>
      <c r="G1159" s="370">
        <f t="shared" si="54"/>
        <v>9.694422860426505E-6</v>
      </c>
      <c r="H1159" s="370">
        <f t="shared" si="55"/>
        <v>1.7686848670937975E-5</v>
      </c>
      <c r="I1159" s="331">
        <v>113457</v>
      </c>
      <c r="J1159" s="331">
        <v>0</v>
      </c>
      <c r="K1159" s="331">
        <f t="shared" si="56"/>
        <v>113457</v>
      </c>
      <c r="L1159" s="199">
        <v>2.08</v>
      </c>
      <c r="M1159" s="199">
        <v>1.43</v>
      </c>
    </row>
    <row r="1160" spans="1:13" ht="15" customHeight="1" x14ac:dyDescent="0.25">
      <c r="A1160" s="49">
        <v>1986</v>
      </c>
      <c r="B1160" s="330" t="s">
        <v>34</v>
      </c>
      <c r="C1160" s="331">
        <v>6240380345</v>
      </c>
      <c r="D1160" s="331">
        <v>3428964186</v>
      </c>
      <c r="E1160" s="331">
        <v>67742890</v>
      </c>
      <c r="F1160" s="331">
        <v>80870</v>
      </c>
      <c r="G1160" s="370">
        <f t="shared" si="54"/>
        <v>1.29591460021817E-5</v>
      </c>
      <c r="H1160" s="370">
        <f t="shared" si="55"/>
        <v>2.3584381642182598E-5</v>
      </c>
      <c r="I1160" s="331">
        <v>111707</v>
      </c>
      <c r="J1160" s="331">
        <v>0</v>
      </c>
      <c r="K1160" s="331">
        <f t="shared" si="56"/>
        <v>111707</v>
      </c>
      <c r="L1160" s="199">
        <v>1.98</v>
      </c>
      <c r="M1160" s="199">
        <v>1.43</v>
      </c>
    </row>
    <row r="1161" spans="1:13" ht="15" customHeight="1" x14ac:dyDescent="0.25">
      <c r="A1161" s="49">
        <v>1987</v>
      </c>
      <c r="B1161" s="330" t="s">
        <v>34</v>
      </c>
      <c r="C1161" s="331">
        <v>6433687120</v>
      </c>
      <c r="D1161" s="331">
        <v>3505568851</v>
      </c>
      <c r="E1161" s="331">
        <v>66900937</v>
      </c>
      <c r="F1161" s="331">
        <v>68944</v>
      </c>
      <c r="G1161" s="370">
        <f t="shared" si="54"/>
        <v>1.0716094630352494E-5</v>
      </c>
      <c r="H1161" s="370">
        <f t="shared" si="55"/>
        <v>1.9666993555220862E-5</v>
      </c>
      <c r="I1161" s="331">
        <v>120187</v>
      </c>
      <c r="J1161" s="331">
        <v>0</v>
      </c>
      <c r="K1161" s="331">
        <f t="shared" si="56"/>
        <v>120187</v>
      </c>
      <c r="L1161" s="199">
        <v>1.91</v>
      </c>
      <c r="M1161" s="199">
        <v>1.43</v>
      </c>
    </row>
    <row r="1162" spans="1:13" ht="15" customHeight="1" x14ac:dyDescent="0.25">
      <c r="A1162" s="49">
        <v>1988</v>
      </c>
      <c r="B1162" s="330" t="s">
        <v>34</v>
      </c>
      <c r="C1162" s="331">
        <v>6832895318</v>
      </c>
      <c r="D1162" s="331">
        <v>3651908667</v>
      </c>
      <c r="E1162" s="331">
        <v>69256422</v>
      </c>
      <c r="F1162" s="331">
        <v>56290</v>
      </c>
      <c r="G1162" s="370">
        <f t="shared" si="54"/>
        <v>8.2380890355094997E-6</v>
      </c>
      <c r="H1162" s="370">
        <f t="shared" si="55"/>
        <v>1.5413857555819317E-5</v>
      </c>
      <c r="I1162" s="331">
        <v>145777</v>
      </c>
      <c r="J1162" s="331">
        <v>0</v>
      </c>
      <c r="K1162" s="331">
        <f t="shared" si="56"/>
        <v>145777</v>
      </c>
      <c r="L1162" s="199">
        <v>1.9</v>
      </c>
      <c r="M1162" s="199">
        <v>1.43</v>
      </c>
    </row>
    <row r="1163" spans="1:13" ht="15" customHeight="1" x14ac:dyDescent="0.25">
      <c r="A1163" s="49">
        <v>1989</v>
      </c>
      <c r="B1163" s="330" t="s">
        <v>34</v>
      </c>
      <c r="C1163" s="331">
        <v>7175917698</v>
      </c>
      <c r="D1163" s="331">
        <v>3852763427</v>
      </c>
      <c r="E1163" s="331">
        <v>70560690</v>
      </c>
      <c r="F1163" s="331">
        <v>51634</v>
      </c>
      <c r="G1163" s="370">
        <f t="shared" si="54"/>
        <v>7.1954559922546092E-6</v>
      </c>
      <c r="H1163" s="370">
        <f t="shared" si="55"/>
        <v>1.3401809111390322E-5</v>
      </c>
      <c r="I1163" s="331">
        <v>174401</v>
      </c>
      <c r="J1163" s="331">
        <v>0</v>
      </c>
      <c r="K1163" s="331">
        <f t="shared" si="56"/>
        <v>174401</v>
      </c>
      <c r="L1163" s="199">
        <v>1.83</v>
      </c>
      <c r="M1163" s="199">
        <v>1.43</v>
      </c>
    </row>
    <row r="1164" spans="1:13" ht="15" customHeight="1" x14ac:dyDescent="0.25">
      <c r="A1164" s="49">
        <v>1990</v>
      </c>
      <c r="B1164" s="330" t="s">
        <v>34</v>
      </c>
      <c r="C1164" s="331">
        <v>7700684661</v>
      </c>
      <c r="D1164" s="331">
        <v>4113865593</v>
      </c>
      <c r="E1164" s="331">
        <v>62709583</v>
      </c>
      <c r="F1164" s="331">
        <v>50674</v>
      </c>
      <c r="G1164" s="370">
        <f t="shared" si="54"/>
        <v>6.5804538467388105E-6</v>
      </c>
      <c r="H1164" s="370">
        <f t="shared" si="55"/>
        <v>1.2317855033043614E-5</v>
      </c>
      <c r="I1164" s="331">
        <v>205275</v>
      </c>
      <c r="J1164" s="331">
        <v>0</v>
      </c>
      <c r="K1164" s="331">
        <f t="shared" si="56"/>
        <v>205275</v>
      </c>
      <c r="L1164" s="199">
        <v>1.52</v>
      </c>
      <c r="M1164" s="199">
        <v>1.43</v>
      </c>
    </row>
    <row r="1165" spans="1:13" ht="15" customHeight="1" x14ac:dyDescent="0.25">
      <c r="A1165" s="49">
        <v>1991</v>
      </c>
      <c r="B1165" s="330" t="s">
        <v>34</v>
      </c>
      <c r="C1165" s="331">
        <v>8093920944</v>
      </c>
      <c r="D1165" s="331">
        <v>4282832578</v>
      </c>
      <c r="E1165" s="331">
        <v>64070606</v>
      </c>
      <c r="F1165" s="331">
        <v>66696</v>
      </c>
      <c r="G1165" s="370">
        <f t="shared" si="54"/>
        <v>8.2402583941027427E-6</v>
      </c>
      <c r="H1165" s="370">
        <f t="shared" si="55"/>
        <v>1.5572871174699467E-5</v>
      </c>
      <c r="I1165" s="331">
        <v>220932</v>
      </c>
      <c r="J1165" s="331">
        <v>0</v>
      </c>
      <c r="K1165" s="331">
        <f t="shared" si="56"/>
        <v>220932</v>
      </c>
      <c r="L1165" s="199">
        <v>1.5</v>
      </c>
      <c r="M1165" s="199">
        <v>1.43</v>
      </c>
    </row>
    <row r="1166" spans="1:13" ht="15" customHeight="1" x14ac:dyDescent="0.25">
      <c r="A1166" s="49">
        <v>1992</v>
      </c>
      <c r="B1166" s="330" t="s">
        <v>34</v>
      </c>
      <c r="C1166" s="331">
        <v>8633188852</v>
      </c>
      <c r="D1166" s="331">
        <v>4534428725</v>
      </c>
      <c r="E1166" s="331">
        <v>69552330</v>
      </c>
      <c r="F1166" s="331">
        <v>66600</v>
      </c>
      <c r="G1166" s="370">
        <f t="shared" si="54"/>
        <v>7.7144148172515841E-6</v>
      </c>
      <c r="H1166" s="370">
        <f t="shared" si="55"/>
        <v>1.4687627491597633E-5</v>
      </c>
      <c r="I1166" s="331">
        <v>238999</v>
      </c>
      <c r="J1166" s="331">
        <v>0</v>
      </c>
      <c r="K1166" s="331">
        <f t="shared" si="56"/>
        <v>238999</v>
      </c>
      <c r="L1166" s="199">
        <v>1.53</v>
      </c>
      <c r="M1166" s="199">
        <v>1.43</v>
      </c>
    </row>
    <row r="1167" spans="1:13" ht="15" customHeight="1" x14ac:dyDescent="0.25">
      <c r="A1167" s="49">
        <v>1993</v>
      </c>
      <c r="B1167" s="330" t="s">
        <v>34</v>
      </c>
      <c r="C1167" s="331">
        <v>9333045372</v>
      </c>
      <c r="D1167" s="331">
        <v>4957602643</v>
      </c>
      <c r="E1167" s="331">
        <v>77976026</v>
      </c>
      <c r="F1167" s="331">
        <v>57449</v>
      </c>
      <c r="G1167" s="370">
        <f t="shared" si="54"/>
        <v>6.15543991378766E-6</v>
      </c>
      <c r="H1167" s="370">
        <f t="shared" si="55"/>
        <v>1.1588060628682379E-5</v>
      </c>
      <c r="I1167" s="331">
        <v>271194</v>
      </c>
      <c r="J1167" s="331">
        <v>0</v>
      </c>
      <c r="K1167" s="331">
        <f t="shared" si="56"/>
        <v>271194</v>
      </c>
      <c r="L1167" s="199">
        <v>1.57</v>
      </c>
      <c r="M1167" s="199">
        <v>1.43</v>
      </c>
    </row>
    <row r="1168" spans="1:13" ht="15" customHeight="1" x14ac:dyDescent="0.25">
      <c r="A1168" s="49">
        <v>1994</v>
      </c>
      <c r="B1168" s="330" t="s">
        <v>34</v>
      </c>
      <c r="C1168" s="331">
        <v>10132337295</v>
      </c>
      <c r="D1168" s="331">
        <v>5436565883</v>
      </c>
      <c r="E1168" s="331">
        <v>86826827</v>
      </c>
      <c r="F1168" s="331">
        <v>62405</v>
      </c>
      <c r="G1168" s="370">
        <f t="shared" si="54"/>
        <v>6.1589935454275657E-6</v>
      </c>
      <c r="H1168" s="370">
        <f t="shared" si="55"/>
        <v>1.1478753563005428E-5</v>
      </c>
      <c r="I1168" s="331">
        <v>317264</v>
      </c>
      <c r="J1168" s="331">
        <v>0</v>
      </c>
      <c r="K1168" s="331">
        <f t="shared" si="56"/>
        <v>317264</v>
      </c>
      <c r="L1168" s="199">
        <v>1.6</v>
      </c>
      <c r="M1168" s="199">
        <v>1.43</v>
      </c>
    </row>
    <row r="1169" spans="1:13" ht="15" customHeight="1" x14ac:dyDescent="0.25">
      <c r="A1169" s="49">
        <v>1995</v>
      </c>
      <c r="B1169" s="330" t="s">
        <v>34</v>
      </c>
      <c r="C1169" s="331">
        <v>10851018115</v>
      </c>
      <c r="D1169" s="331">
        <v>5873906163</v>
      </c>
      <c r="E1169" s="331">
        <v>78334663</v>
      </c>
      <c r="F1169" s="331">
        <v>65176</v>
      </c>
      <c r="G1169" s="370">
        <f t="shared" si="54"/>
        <v>6.0064409909981983E-6</v>
      </c>
      <c r="H1169" s="370">
        <f t="shared" si="55"/>
        <v>1.109585311569098E-5</v>
      </c>
      <c r="I1169" s="331">
        <v>354874</v>
      </c>
      <c r="J1169" s="331">
        <v>0</v>
      </c>
      <c r="K1169" s="331">
        <f t="shared" si="56"/>
        <v>354874</v>
      </c>
      <c r="L1169" s="199">
        <v>1.33</v>
      </c>
      <c r="M1169" s="199">
        <v>1.4</v>
      </c>
    </row>
    <row r="1170" spans="1:13" ht="15" customHeight="1" x14ac:dyDescent="0.25">
      <c r="A1170" s="49">
        <v>1996</v>
      </c>
      <c r="B1170" s="330" t="s">
        <v>34</v>
      </c>
      <c r="C1170" s="331">
        <v>11391228265</v>
      </c>
      <c r="D1170" s="331">
        <v>6163671776</v>
      </c>
      <c r="E1170" s="331">
        <v>82227983</v>
      </c>
      <c r="F1170" s="331">
        <v>73777</v>
      </c>
      <c r="G1170" s="370">
        <f t="shared" si="54"/>
        <v>6.4766501279482527E-6</v>
      </c>
      <c r="H1170" s="370">
        <f t="shared" si="55"/>
        <v>1.1969650993953251E-5</v>
      </c>
      <c r="I1170" s="331">
        <v>385531</v>
      </c>
      <c r="J1170" s="331">
        <v>0</v>
      </c>
      <c r="K1170" s="331">
        <f t="shared" si="56"/>
        <v>385531</v>
      </c>
      <c r="L1170" s="199">
        <v>1.33</v>
      </c>
      <c r="M1170" s="199">
        <v>1.4</v>
      </c>
    </row>
    <row r="1171" spans="1:13" ht="15" customHeight="1" x14ac:dyDescent="0.25">
      <c r="A1171" s="49">
        <v>1997</v>
      </c>
      <c r="B1171" s="330" t="s">
        <v>34</v>
      </c>
      <c r="C1171" s="331">
        <v>12118686368</v>
      </c>
      <c r="D1171" s="331">
        <v>6499207695</v>
      </c>
      <c r="E1171" s="331">
        <v>90199178</v>
      </c>
      <c r="F1171" s="331">
        <v>69669</v>
      </c>
      <c r="G1171" s="370">
        <f t="shared" si="54"/>
        <v>5.7488904229722866E-6</v>
      </c>
      <c r="H1171" s="370">
        <f t="shared" si="55"/>
        <v>1.0719614339082911E-5</v>
      </c>
      <c r="I1171" s="331">
        <v>431159</v>
      </c>
      <c r="J1171" s="331">
        <v>0</v>
      </c>
      <c r="K1171" s="331">
        <f t="shared" si="56"/>
        <v>431159</v>
      </c>
      <c r="L1171" s="199">
        <v>1.39</v>
      </c>
      <c r="M1171" s="199">
        <v>1.4</v>
      </c>
    </row>
    <row r="1172" spans="1:13" ht="15" customHeight="1" x14ac:dyDescent="0.25">
      <c r="A1172" s="49">
        <v>1998</v>
      </c>
      <c r="B1172" s="330" t="s">
        <v>34</v>
      </c>
      <c r="C1172" s="331">
        <v>12820563679</v>
      </c>
      <c r="D1172" s="331">
        <v>6884978271</v>
      </c>
      <c r="E1172" s="331">
        <v>95983168</v>
      </c>
      <c r="F1172" s="331">
        <v>79554</v>
      </c>
      <c r="G1172" s="370">
        <f t="shared" si="54"/>
        <v>6.2051873842574441E-6</v>
      </c>
      <c r="H1172" s="370">
        <f t="shared" si="55"/>
        <v>1.1554720562457967E-5</v>
      </c>
      <c r="I1172" s="331">
        <v>478112</v>
      </c>
      <c r="J1172" s="331">
        <v>0</v>
      </c>
      <c r="K1172" s="331">
        <f t="shared" si="56"/>
        <v>478112</v>
      </c>
      <c r="L1172" s="199">
        <v>1.39</v>
      </c>
      <c r="M1172" s="199">
        <v>1.4</v>
      </c>
    </row>
    <row r="1173" spans="1:13" ht="15" customHeight="1" x14ac:dyDescent="0.25">
      <c r="A1173" s="49">
        <v>1999</v>
      </c>
      <c r="B1173" s="330" t="s">
        <v>34</v>
      </c>
      <c r="C1173" s="331">
        <v>13338190057</v>
      </c>
      <c r="D1173" s="331">
        <v>6903332839</v>
      </c>
      <c r="E1173" s="331">
        <v>79932404</v>
      </c>
      <c r="F1173" s="331">
        <v>80692</v>
      </c>
      <c r="G1173" s="370">
        <f t="shared" si="54"/>
        <v>6.0496963722339622E-6</v>
      </c>
      <c r="H1173" s="370">
        <f t="shared" si="55"/>
        <v>1.1688846805145331E-5</v>
      </c>
      <c r="I1173" s="331">
        <v>511440</v>
      </c>
      <c r="J1173" s="331">
        <v>0</v>
      </c>
      <c r="K1173" s="331">
        <f t="shared" si="56"/>
        <v>511440</v>
      </c>
      <c r="L1173" s="199">
        <v>1.1599999999999999</v>
      </c>
      <c r="M1173" s="199">
        <v>1.4</v>
      </c>
    </row>
    <row r="1174" spans="1:13" ht="15" customHeight="1" x14ac:dyDescent="0.25">
      <c r="A1174" s="49">
        <v>2000</v>
      </c>
      <c r="B1174" s="330" t="s">
        <v>34</v>
      </c>
      <c r="C1174" s="331">
        <v>14352557702</v>
      </c>
      <c r="D1174" s="331">
        <v>7397990421</v>
      </c>
      <c r="E1174" s="331">
        <v>86402310</v>
      </c>
      <c r="F1174" s="331">
        <v>67742</v>
      </c>
      <c r="G1174" s="370">
        <f t="shared" si="54"/>
        <v>4.7198556108616299E-6</v>
      </c>
      <c r="H1174" s="370">
        <f t="shared" si="55"/>
        <v>9.1568109912263432E-6</v>
      </c>
      <c r="I1174" s="331">
        <v>561517</v>
      </c>
      <c r="J1174" s="331">
        <v>0</v>
      </c>
      <c r="K1174" s="331">
        <f t="shared" si="56"/>
        <v>561517</v>
      </c>
      <c r="L1174" s="199">
        <v>1.17</v>
      </c>
      <c r="M1174" s="199">
        <v>1.4</v>
      </c>
    </row>
    <row r="1175" spans="1:13" ht="15" customHeight="1" x14ac:dyDescent="0.25">
      <c r="A1175" s="49">
        <v>2001</v>
      </c>
      <c r="B1175" s="330" t="s">
        <v>34</v>
      </c>
      <c r="C1175" s="331">
        <v>15172853979</v>
      </c>
      <c r="D1175" s="331">
        <v>7788447036</v>
      </c>
      <c r="E1175" s="331">
        <v>69636550</v>
      </c>
      <c r="F1175" s="331">
        <v>91777</v>
      </c>
      <c r="G1175" s="370">
        <f t="shared" si="54"/>
        <v>6.0487631481212453E-6</v>
      </c>
      <c r="H1175" s="370">
        <f t="shared" si="55"/>
        <v>1.1783735522086177E-5</v>
      </c>
      <c r="I1175" s="331">
        <v>581350</v>
      </c>
      <c r="J1175" s="331">
        <v>0</v>
      </c>
      <c r="K1175" s="331">
        <f t="shared" si="56"/>
        <v>581350</v>
      </c>
      <c r="L1175" s="199">
        <v>0.89</v>
      </c>
      <c r="M1175" s="199">
        <v>1.4</v>
      </c>
    </row>
    <row r="1176" spans="1:13" ht="15" customHeight="1" x14ac:dyDescent="0.25">
      <c r="A1176" s="49">
        <v>2002</v>
      </c>
      <c r="B1176" s="330" t="s">
        <v>34</v>
      </c>
      <c r="C1176" s="331">
        <v>15520110645</v>
      </c>
      <c r="D1176" s="331">
        <v>8036840949</v>
      </c>
      <c r="E1176" s="331">
        <v>72598821</v>
      </c>
      <c r="F1176" s="331">
        <v>126690</v>
      </c>
      <c r="G1176" s="370">
        <f t="shared" si="54"/>
        <v>8.162957268659344E-6</v>
      </c>
      <c r="H1176" s="370">
        <f t="shared" si="55"/>
        <v>1.576365649189109E-5</v>
      </c>
      <c r="I1176" s="331">
        <v>599782</v>
      </c>
      <c r="J1176" s="331">
        <v>0</v>
      </c>
      <c r="K1176" s="331">
        <f t="shared" si="56"/>
        <v>599782</v>
      </c>
      <c r="L1176" s="199">
        <v>0.9</v>
      </c>
      <c r="M1176" s="199">
        <v>1.4</v>
      </c>
    </row>
    <row r="1177" spans="1:13" ht="15" customHeight="1" x14ac:dyDescent="0.25">
      <c r="A1177" s="49">
        <v>2003</v>
      </c>
      <c r="B1177" s="330" t="s">
        <v>34</v>
      </c>
      <c r="C1177" s="331">
        <v>16131600691</v>
      </c>
      <c r="D1177" s="331">
        <v>8408107568</v>
      </c>
      <c r="E1177" s="331">
        <v>82429428</v>
      </c>
      <c r="F1177" s="331">
        <v>125102</v>
      </c>
      <c r="G1177" s="370">
        <f t="shared" si="54"/>
        <v>7.7550890575785075E-6</v>
      </c>
      <c r="H1177" s="370">
        <f t="shared" si="55"/>
        <v>1.487873448195638E-5</v>
      </c>
      <c r="I1177" s="331">
        <v>588757</v>
      </c>
      <c r="J1177" s="331">
        <v>0</v>
      </c>
      <c r="K1177" s="331">
        <f t="shared" si="56"/>
        <v>588757</v>
      </c>
      <c r="L1177" s="199">
        <v>0.98</v>
      </c>
      <c r="M1177" s="199">
        <v>1.4</v>
      </c>
    </row>
    <row r="1178" spans="1:13" ht="15" customHeight="1" x14ac:dyDescent="0.25">
      <c r="A1178" s="49">
        <v>2004</v>
      </c>
      <c r="B1178" s="330" t="s">
        <v>34</v>
      </c>
      <c r="C1178" s="331">
        <v>17152696576</v>
      </c>
      <c r="D1178" s="331">
        <v>8782665329</v>
      </c>
      <c r="E1178" s="331">
        <v>70778371</v>
      </c>
      <c r="F1178" s="331">
        <v>117576</v>
      </c>
      <c r="G1178" s="370">
        <f t="shared" si="54"/>
        <v>6.8546656485786596E-6</v>
      </c>
      <c r="H1178" s="370">
        <f t="shared" si="55"/>
        <v>1.3387280010746724E-5</v>
      </c>
      <c r="I1178" s="331">
        <v>561621</v>
      </c>
      <c r="J1178" s="331">
        <v>0</v>
      </c>
      <c r="K1178" s="331">
        <f t="shared" si="56"/>
        <v>561621</v>
      </c>
      <c r="L1178" s="199">
        <v>0.81</v>
      </c>
      <c r="M1178" s="199">
        <v>1.4</v>
      </c>
    </row>
    <row r="1179" spans="1:13" ht="15" customHeight="1" x14ac:dyDescent="0.25">
      <c r="A1179" s="49">
        <v>2005</v>
      </c>
      <c r="B1179" s="330" t="s">
        <v>34</v>
      </c>
      <c r="C1179" s="331">
        <v>18311832633</v>
      </c>
      <c r="D1179" s="331">
        <v>9302456772</v>
      </c>
      <c r="E1179" s="331">
        <v>84994423</v>
      </c>
      <c r="F1179" s="331">
        <v>104664</v>
      </c>
      <c r="G1179" s="370">
        <f t="shared" si="54"/>
        <v>5.7156485698424084E-6</v>
      </c>
      <c r="H1179" s="370">
        <f t="shared" si="55"/>
        <v>1.1251221324138178E-5</v>
      </c>
      <c r="I1179" s="331">
        <v>557919</v>
      </c>
      <c r="J1179" s="331">
        <v>0</v>
      </c>
      <c r="K1179" s="331">
        <f t="shared" si="56"/>
        <v>557919</v>
      </c>
      <c r="L1179" s="199">
        <v>0.91</v>
      </c>
      <c r="M1179" s="199">
        <v>1.4</v>
      </c>
    </row>
    <row r="1180" spans="1:13" ht="15" customHeight="1" x14ac:dyDescent="0.25">
      <c r="A1180" s="49">
        <v>2006</v>
      </c>
      <c r="B1180" s="330" t="s">
        <v>34</v>
      </c>
      <c r="C1180" s="331">
        <v>20370054880</v>
      </c>
      <c r="D1180" s="331">
        <v>10261449370</v>
      </c>
      <c r="E1180" s="331">
        <v>99705822</v>
      </c>
      <c r="F1180" s="331">
        <v>105061</v>
      </c>
      <c r="G1180" s="370">
        <f t="shared" si="54"/>
        <v>5.1576198797162987E-6</v>
      </c>
      <c r="H1180" s="370">
        <f t="shared" si="55"/>
        <v>1.0238417226630043E-5</v>
      </c>
      <c r="I1180" s="331">
        <v>578168</v>
      </c>
      <c r="J1180" s="331">
        <v>0</v>
      </c>
      <c r="K1180" s="331">
        <f t="shared" si="56"/>
        <v>578168</v>
      </c>
      <c r="L1180" s="199">
        <v>0.97</v>
      </c>
      <c r="M1180" s="199">
        <v>1.4</v>
      </c>
    </row>
    <row r="1181" spans="1:13" ht="15" customHeight="1" x14ac:dyDescent="0.25">
      <c r="A1181" s="49">
        <v>2007</v>
      </c>
      <c r="B1181" s="330" t="s">
        <v>34</v>
      </c>
      <c r="C1181" s="331">
        <v>21905063674</v>
      </c>
      <c r="D1181" s="331">
        <v>10849038176</v>
      </c>
      <c r="E1181" s="331">
        <v>103528767</v>
      </c>
      <c r="F1181" s="331">
        <v>128465</v>
      </c>
      <c r="G1181" s="370">
        <f t="shared" si="54"/>
        <v>5.8646257281817571E-6</v>
      </c>
      <c r="H1181" s="370">
        <f t="shared" si="55"/>
        <v>1.184114185202034E-5</v>
      </c>
      <c r="I1181" s="331">
        <v>575524</v>
      </c>
      <c r="J1181" s="331">
        <v>0</v>
      </c>
      <c r="K1181" s="331">
        <f t="shared" si="56"/>
        <v>575524</v>
      </c>
      <c r="L1181" s="199">
        <v>0.95</v>
      </c>
      <c r="M1181" s="199">
        <v>1.4</v>
      </c>
    </row>
    <row r="1182" spans="1:13" ht="15" customHeight="1" x14ac:dyDescent="0.25">
      <c r="A1182" s="49">
        <v>2008</v>
      </c>
      <c r="B1182" s="330" t="s">
        <v>34</v>
      </c>
      <c r="C1182" s="331">
        <v>22772490648</v>
      </c>
      <c r="D1182" s="331">
        <v>11583256644</v>
      </c>
      <c r="E1182" s="331">
        <v>112156082</v>
      </c>
      <c r="F1182" s="331">
        <v>169964</v>
      </c>
      <c r="G1182" s="370">
        <f t="shared" si="54"/>
        <v>7.4635665736864463E-6</v>
      </c>
      <c r="H1182" s="370">
        <f t="shared" si="55"/>
        <v>1.4673248225751736E-5</v>
      </c>
      <c r="I1182" s="331">
        <v>512785</v>
      </c>
      <c r="J1182" s="331">
        <v>0</v>
      </c>
      <c r="K1182" s="331">
        <f t="shared" si="56"/>
        <v>512785</v>
      </c>
      <c r="L1182" s="199">
        <v>1</v>
      </c>
      <c r="M1182" s="199">
        <v>1.4</v>
      </c>
    </row>
    <row r="1183" spans="1:13" ht="15" customHeight="1" x14ac:dyDescent="0.25">
      <c r="A1183" s="49">
        <v>2009</v>
      </c>
      <c r="B1183" s="330" t="s">
        <v>34</v>
      </c>
      <c r="C1183" s="331">
        <v>21628652246</v>
      </c>
      <c r="D1183" s="331">
        <v>11143903878</v>
      </c>
      <c r="E1183" s="331">
        <v>123905263</v>
      </c>
      <c r="F1183" s="331">
        <v>349514</v>
      </c>
      <c r="G1183" s="370">
        <f t="shared" si="54"/>
        <v>1.6159767886815002E-5</v>
      </c>
      <c r="H1183" s="370">
        <f t="shared" si="55"/>
        <v>3.1363694790117608E-5</v>
      </c>
      <c r="I1183" s="331">
        <v>281026</v>
      </c>
      <c r="J1183" s="331">
        <v>0</v>
      </c>
      <c r="K1183" s="331">
        <f t="shared" si="56"/>
        <v>281026</v>
      </c>
      <c r="L1183" s="199">
        <v>1.1000000000000001</v>
      </c>
      <c r="M1183" s="199">
        <v>1.0900000000000001</v>
      </c>
    </row>
    <row r="1184" spans="1:13" ht="15" customHeight="1" x14ac:dyDescent="0.25">
      <c r="A1184" s="49">
        <v>2010</v>
      </c>
      <c r="B1184" s="330" t="s">
        <v>34</v>
      </c>
      <c r="C1184" s="331">
        <v>21801352276</v>
      </c>
      <c r="D1184" s="331">
        <v>10982035152</v>
      </c>
      <c r="E1184" s="331">
        <v>151375348</v>
      </c>
      <c r="F1184" s="331">
        <v>327716</v>
      </c>
      <c r="G1184" s="370">
        <f t="shared" si="54"/>
        <v>1.5031911592051374E-5</v>
      </c>
      <c r="H1184" s="370">
        <f t="shared" si="55"/>
        <v>2.9841099164604094E-5</v>
      </c>
      <c r="I1184" s="331">
        <v>224869</v>
      </c>
      <c r="J1184" s="331">
        <v>0</v>
      </c>
      <c r="K1184" s="331">
        <f t="shared" si="56"/>
        <v>224869</v>
      </c>
      <c r="L1184" s="199">
        <v>1.4</v>
      </c>
      <c r="M1184" s="199">
        <v>1.32</v>
      </c>
    </row>
    <row r="1185" spans="1:13" ht="15" customHeight="1" x14ac:dyDescent="0.25">
      <c r="A1185" s="49">
        <v>2011</v>
      </c>
      <c r="B1185" s="330" t="s">
        <v>34</v>
      </c>
      <c r="C1185" s="331">
        <v>22347482322</v>
      </c>
      <c r="D1185" s="331">
        <v>11467907080</v>
      </c>
      <c r="E1185" s="331">
        <v>192222441</v>
      </c>
      <c r="F1185" s="331">
        <v>268167</v>
      </c>
      <c r="G1185" s="370">
        <f t="shared" si="54"/>
        <v>1.1999875249302815E-5</v>
      </c>
      <c r="H1185" s="370">
        <f t="shared" si="55"/>
        <v>2.3384127385168872E-5</v>
      </c>
      <c r="I1185" s="331">
        <v>108235</v>
      </c>
      <c r="J1185" s="331">
        <v>0</v>
      </c>
      <c r="K1185" s="331">
        <f t="shared" si="56"/>
        <v>108235</v>
      </c>
      <c r="L1185" s="199">
        <v>1.7</v>
      </c>
      <c r="M1185" s="199">
        <v>1.44</v>
      </c>
    </row>
    <row r="1186" spans="1:13" ht="15" customHeight="1" x14ac:dyDescent="0.25">
      <c r="A1186" s="49">
        <v>2012</v>
      </c>
      <c r="B1186" s="330" t="s">
        <v>34</v>
      </c>
      <c r="C1186" s="331">
        <v>23078954017</v>
      </c>
      <c r="D1186" s="331">
        <v>11867034186</v>
      </c>
      <c r="E1186" s="331">
        <v>189250586</v>
      </c>
      <c r="F1186" s="331">
        <v>229740</v>
      </c>
      <c r="G1186" s="370">
        <f t="shared" si="54"/>
        <v>9.9545239281976591E-6</v>
      </c>
      <c r="H1186" s="370">
        <f t="shared" si="55"/>
        <v>1.9359512781300754E-5</v>
      </c>
      <c r="I1186" s="331">
        <v>67304</v>
      </c>
      <c r="J1186" s="331">
        <v>0</v>
      </c>
      <c r="K1186" s="331">
        <f t="shared" si="56"/>
        <v>67304</v>
      </c>
      <c r="L1186" s="199">
        <v>1.59</v>
      </c>
      <c r="M1186" s="199">
        <v>1.44</v>
      </c>
    </row>
    <row r="1187" spans="1:13" ht="15" customHeight="1" x14ac:dyDescent="0.25">
      <c r="A1187" s="49">
        <v>2013</v>
      </c>
      <c r="B1187" s="330" t="s">
        <v>34</v>
      </c>
      <c r="C1187" s="331">
        <v>23421280091</v>
      </c>
      <c r="D1187" s="331">
        <v>12374573039</v>
      </c>
      <c r="E1187" s="331">
        <v>201811649</v>
      </c>
      <c r="F1187" s="331">
        <v>220538</v>
      </c>
      <c r="G1187" s="370">
        <f t="shared" si="54"/>
        <v>9.4161377663019041E-6</v>
      </c>
      <c r="H1187" s="370">
        <f t="shared" si="55"/>
        <v>1.7821867413521837E-5</v>
      </c>
      <c r="I1187" s="331">
        <v>56769</v>
      </c>
      <c r="J1187" s="331">
        <v>0</v>
      </c>
      <c r="K1187" s="331">
        <f t="shared" si="56"/>
        <v>56769</v>
      </c>
      <c r="L1187" s="199">
        <v>1.63</v>
      </c>
      <c r="M1187" s="199">
        <v>1.44</v>
      </c>
    </row>
    <row r="1188" spans="1:13" ht="15" customHeight="1" x14ac:dyDescent="0.25">
      <c r="A1188" s="49">
        <v>2014</v>
      </c>
      <c r="B1188" s="330" t="s">
        <v>34</v>
      </c>
      <c r="C1188" s="331">
        <v>24372366457</v>
      </c>
      <c r="D1188" s="331">
        <v>12644360386</v>
      </c>
      <c r="E1188" s="331">
        <v>196307267</v>
      </c>
      <c r="F1188" s="331">
        <v>184145</v>
      </c>
      <c r="G1188" s="370">
        <f t="shared" si="54"/>
        <v>7.5554829821259159E-6</v>
      </c>
      <c r="H1188" s="370">
        <f t="shared" si="55"/>
        <v>1.4563409644974034E-5</v>
      </c>
      <c r="I1188" s="331">
        <v>84291</v>
      </c>
      <c r="J1188" s="331">
        <v>0</v>
      </c>
      <c r="K1188" s="331">
        <f t="shared" si="56"/>
        <v>84291</v>
      </c>
      <c r="L1188" s="333">
        <v>1.5525282498065616</v>
      </c>
      <c r="M1188" s="199">
        <v>1.44</v>
      </c>
    </row>
    <row r="1189" spans="1:13" ht="15" customHeight="1" x14ac:dyDescent="0.25">
      <c r="A1189" s="49">
        <v>2015</v>
      </c>
      <c r="B1189" s="330" t="s">
        <v>34</v>
      </c>
      <c r="C1189" s="334">
        <v>24918945000</v>
      </c>
      <c r="D1189" s="334">
        <v>12877008000</v>
      </c>
      <c r="E1189" s="334">
        <v>324566000</v>
      </c>
      <c r="F1189" s="331">
        <v>156163</v>
      </c>
      <c r="G1189" s="370">
        <f t="shared" si="54"/>
        <v>6.2668383432765712E-6</v>
      </c>
      <c r="H1189" s="370">
        <f t="shared" si="55"/>
        <v>1.2127273664814062E-5</v>
      </c>
      <c r="I1189" s="331">
        <v>250993</v>
      </c>
      <c r="J1189" s="199">
        <v>0</v>
      </c>
      <c r="K1189" s="331">
        <f t="shared" si="56"/>
        <v>250993</v>
      </c>
      <c r="L1189" s="199">
        <v>2.7</v>
      </c>
      <c r="M1189" s="199">
        <v>1.44</v>
      </c>
    </row>
    <row r="1190" spans="1:13" ht="15" customHeight="1" x14ac:dyDescent="0.25">
      <c r="A1190" s="49">
        <v>1980</v>
      </c>
      <c r="B1190" s="330" t="s">
        <v>35</v>
      </c>
      <c r="C1190" s="331">
        <v>4729219611</v>
      </c>
      <c r="D1190" s="331">
        <v>2771170423</v>
      </c>
      <c r="E1190" s="331">
        <v>83124178</v>
      </c>
      <c r="F1190" s="331">
        <v>53230</v>
      </c>
      <c r="G1190" s="370">
        <f t="shared" si="54"/>
        <v>1.125555681030098E-5</v>
      </c>
      <c r="H1190" s="370">
        <f t="shared" si="55"/>
        <v>1.9208490231493786E-5</v>
      </c>
      <c r="I1190" s="331">
        <v>134830</v>
      </c>
      <c r="J1190" s="331">
        <v>0</v>
      </c>
      <c r="K1190" s="331">
        <f t="shared" si="56"/>
        <v>134830</v>
      </c>
      <c r="L1190" s="199">
        <v>3</v>
      </c>
      <c r="M1190" s="199">
        <v>2.0499999999999998</v>
      </c>
    </row>
    <row r="1191" spans="1:13" x14ac:dyDescent="0.25">
      <c r="A1191" s="49">
        <v>1981</v>
      </c>
      <c r="B1191" s="330" t="s">
        <v>35</v>
      </c>
      <c r="C1191" s="331">
        <v>5346608176</v>
      </c>
      <c r="D1191" s="331">
        <v>3071437224</v>
      </c>
      <c r="E1191" s="331">
        <v>73918257</v>
      </c>
      <c r="F1191" s="331">
        <v>65533</v>
      </c>
      <c r="G1191" s="370">
        <f t="shared" si="54"/>
        <v>1.2256929597752517E-5</v>
      </c>
      <c r="H1191" s="370">
        <f t="shared" si="55"/>
        <v>2.1336265474654545E-5</v>
      </c>
      <c r="I1191" s="331">
        <v>157786</v>
      </c>
      <c r="J1191" s="331">
        <v>0</v>
      </c>
      <c r="K1191" s="331">
        <f t="shared" si="56"/>
        <v>157786</v>
      </c>
      <c r="L1191" s="199">
        <v>2.41</v>
      </c>
      <c r="M1191" s="199">
        <v>2.0499999999999998</v>
      </c>
    </row>
    <row r="1192" spans="1:13" ht="15" customHeight="1" x14ac:dyDescent="0.25">
      <c r="A1192" s="49">
        <v>1982</v>
      </c>
      <c r="B1192" s="330" t="s">
        <v>35</v>
      </c>
      <c r="C1192" s="331">
        <v>5425988722</v>
      </c>
      <c r="D1192" s="331">
        <v>3107315905</v>
      </c>
      <c r="E1192" s="331">
        <v>55407825</v>
      </c>
      <c r="F1192" s="331">
        <v>103764</v>
      </c>
      <c r="G1192" s="370">
        <f t="shared" si="54"/>
        <v>1.9123519291384182E-5</v>
      </c>
      <c r="H1192" s="370">
        <f t="shared" si="55"/>
        <v>3.3393450544578605E-5</v>
      </c>
      <c r="I1192" s="331">
        <v>122431</v>
      </c>
      <c r="J1192" s="331">
        <v>0</v>
      </c>
      <c r="K1192" s="331">
        <f t="shared" si="56"/>
        <v>122431</v>
      </c>
      <c r="L1192" s="199">
        <v>1.78</v>
      </c>
      <c r="M1192" s="199">
        <v>2.12</v>
      </c>
    </row>
    <row r="1193" spans="1:13" ht="15" customHeight="1" x14ac:dyDescent="0.25">
      <c r="A1193" s="49">
        <v>1983</v>
      </c>
      <c r="B1193" s="330" t="s">
        <v>35</v>
      </c>
      <c r="C1193" s="331">
        <v>5664673998</v>
      </c>
      <c r="D1193" s="331">
        <v>3325050596</v>
      </c>
      <c r="E1193" s="331">
        <v>75142761</v>
      </c>
      <c r="F1193" s="331">
        <v>95304</v>
      </c>
      <c r="G1193" s="370">
        <f t="shared" si="54"/>
        <v>1.682426915187856E-5</v>
      </c>
      <c r="H1193" s="370">
        <f t="shared" si="55"/>
        <v>2.8662420991322564E-5</v>
      </c>
      <c r="I1193" s="331">
        <v>99999</v>
      </c>
      <c r="J1193" s="331">
        <v>0</v>
      </c>
      <c r="K1193" s="331">
        <f t="shared" si="56"/>
        <v>99999</v>
      </c>
      <c r="L1193" s="199">
        <v>2.2599999999999998</v>
      </c>
      <c r="M1193" s="199">
        <v>2.12</v>
      </c>
    </row>
    <row r="1194" spans="1:13" ht="15" customHeight="1" x14ac:dyDescent="0.25">
      <c r="A1194" s="49">
        <v>1984</v>
      </c>
      <c r="B1194" s="330" t="s">
        <v>35</v>
      </c>
      <c r="C1194" s="331">
        <v>6197671540</v>
      </c>
      <c r="D1194" s="331">
        <v>3698858078</v>
      </c>
      <c r="E1194" s="331">
        <v>103555742</v>
      </c>
      <c r="F1194" s="331">
        <v>67324</v>
      </c>
      <c r="G1194" s="370">
        <f t="shared" si="54"/>
        <v>1.0862789285538678E-5</v>
      </c>
      <c r="H1194" s="370">
        <f t="shared" si="55"/>
        <v>1.8201293096490631E-5</v>
      </c>
      <c r="I1194" s="331">
        <v>141907</v>
      </c>
      <c r="J1194" s="331">
        <v>0</v>
      </c>
      <c r="K1194" s="331">
        <f t="shared" si="56"/>
        <v>141907</v>
      </c>
      <c r="L1194" s="199">
        <v>2.8</v>
      </c>
      <c r="M1194" s="199">
        <v>2.12</v>
      </c>
    </row>
    <row r="1195" spans="1:13" ht="15" customHeight="1" x14ac:dyDescent="0.25">
      <c r="A1195" s="49">
        <v>1985</v>
      </c>
      <c r="B1195" s="330" t="s">
        <v>35</v>
      </c>
      <c r="C1195" s="331">
        <v>6704669434</v>
      </c>
      <c r="D1195" s="331">
        <v>3984657831</v>
      </c>
      <c r="E1195" s="331">
        <v>94355789</v>
      </c>
      <c r="F1195" s="331">
        <v>70211</v>
      </c>
      <c r="G1195" s="370">
        <f t="shared" si="54"/>
        <v>1.0471955506703062E-5</v>
      </c>
      <c r="H1195" s="370">
        <f t="shared" si="55"/>
        <v>1.7620333533727703E-5</v>
      </c>
      <c r="I1195" s="331">
        <v>183542</v>
      </c>
      <c r="J1195" s="331">
        <v>0</v>
      </c>
      <c r="K1195" s="331">
        <f t="shared" si="56"/>
        <v>183542</v>
      </c>
      <c r="L1195" s="199">
        <v>2.37</v>
      </c>
      <c r="M1195" s="199">
        <v>2.12</v>
      </c>
    </row>
    <row r="1196" spans="1:13" ht="15" customHeight="1" x14ac:dyDescent="0.25">
      <c r="A1196" s="49">
        <v>1986</v>
      </c>
      <c r="B1196" s="330" t="s">
        <v>35</v>
      </c>
      <c r="C1196" s="331">
        <v>7249996347</v>
      </c>
      <c r="D1196" s="331">
        <v>4280014842</v>
      </c>
      <c r="E1196" s="331">
        <v>78786521</v>
      </c>
      <c r="F1196" s="331">
        <v>74544</v>
      </c>
      <c r="G1196" s="370">
        <f t="shared" si="54"/>
        <v>1.0281936215160413E-5</v>
      </c>
      <c r="H1196" s="370">
        <f t="shared" si="55"/>
        <v>1.7416762032807922E-5</v>
      </c>
      <c r="I1196" s="331">
        <v>208306</v>
      </c>
      <c r="J1196" s="331">
        <v>0</v>
      </c>
      <c r="K1196" s="331">
        <f t="shared" si="56"/>
        <v>208306</v>
      </c>
      <c r="L1196" s="199">
        <v>1.84</v>
      </c>
      <c r="M1196" s="199">
        <v>2.12</v>
      </c>
    </row>
    <row r="1197" spans="1:13" ht="15" customHeight="1" x14ac:dyDescent="0.25">
      <c r="A1197" s="49">
        <v>1987</v>
      </c>
      <c r="B1197" s="330" t="s">
        <v>35</v>
      </c>
      <c r="C1197" s="331">
        <v>8114917438</v>
      </c>
      <c r="D1197" s="331">
        <v>4736774626</v>
      </c>
      <c r="E1197" s="331">
        <v>78247308</v>
      </c>
      <c r="F1197" s="331">
        <v>67209</v>
      </c>
      <c r="G1197" s="370">
        <f t="shared" si="54"/>
        <v>8.2821545029254559E-6</v>
      </c>
      <c r="H1197" s="370">
        <f t="shared" si="55"/>
        <v>1.4188768794506711E-5</v>
      </c>
      <c r="I1197" s="331">
        <v>235906</v>
      </c>
      <c r="J1197" s="331">
        <v>0</v>
      </c>
      <c r="K1197" s="331">
        <f t="shared" si="56"/>
        <v>235906</v>
      </c>
      <c r="L1197" s="199">
        <v>1.65</v>
      </c>
      <c r="M1197" s="199">
        <v>2.12</v>
      </c>
    </row>
    <row r="1198" spans="1:13" ht="15" customHeight="1" x14ac:dyDescent="0.25">
      <c r="A1198" s="49">
        <v>1988</v>
      </c>
      <c r="B1198" s="330" t="s">
        <v>35</v>
      </c>
      <c r="C1198" s="331">
        <v>9264388581</v>
      </c>
      <c r="D1198" s="331">
        <v>5353917603</v>
      </c>
      <c r="E1198" s="331">
        <v>81624500</v>
      </c>
      <c r="F1198" s="331">
        <v>61681</v>
      </c>
      <c r="G1198" s="370">
        <f t="shared" si="54"/>
        <v>6.6578597670761928E-6</v>
      </c>
      <c r="H1198" s="370">
        <f t="shared" si="55"/>
        <v>1.1520722688268088E-5</v>
      </c>
      <c r="I1198" s="331">
        <v>273470</v>
      </c>
      <c r="J1198" s="331">
        <v>0</v>
      </c>
      <c r="K1198" s="331">
        <f t="shared" si="56"/>
        <v>273470</v>
      </c>
      <c r="L1198" s="199">
        <v>1.52</v>
      </c>
      <c r="M1198" s="199">
        <v>2.12</v>
      </c>
    </row>
    <row r="1199" spans="1:13" ht="15" customHeight="1" x14ac:dyDescent="0.25">
      <c r="A1199" s="49">
        <v>1989</v>
      </c>
      <c r="B1199" s="330" t="s">
        <v>35</v>
      </c>
      <c r="C1199" s="331">
        <v>10439750962</v>
      </c>
      <c r="D1199" s="331">
        <v>6031342050</v>
      </c>
      <c r="E1199" s="331">
        <v>89042060</v>
      </c>
      <c r="F1199" s="331">
        <v>65568</v>
      </c>
      <c r="G1199" s="370">
        <f t="shared" si="54"/>
        <v>6.2806095891236452E-6</v>
      </c>
      <c r="H1199" s="370">
        <f t="shared" si="55"/>
        <v>1.0871212319984405E-5</v>
      </c>
      <c r="I1199" s="331">
        <v>321035</v>
      </c>
      <c r="J1199" s="331">
        <v>0</v>
      </c>
      <c r="K1199" s="331">
        <f t="shared" si="56"/>
        <v>321035</v>
      </c>
      <c r="L1199" s="199">
        <v>1.48</v>
      </c>
      <c r="M1199" s="199">
        <v>2.12</v>
      </c>
    </row>
    <row r="1200" spans="1:13" ht="15" customHeight="1" x14ac:dyDescent="0.25">
      <c r="A1200" s="49">
        <v>1990</v>
      </c>
      <c r="B1200" s="330" t="s">
        <v>35</v>
      </c>
      <c r="C1200" s="331">
        <v>11676086893</v>
      </c>
      <c r="D1200" s="331">
        <v>6737951259</v>
      </c>
      <c r="E1200" s="331">
        <v>92858115</v>
      </c>
      <c r="F1200" s="331">
        <v>91768</v>
      </c>
      <c r="G1200" s="370">
        <f t="shared" si="54"/>
        <v>7.8594824482692385E-6</v>
      </c>
      <c r="H1200" s="370">
        <f t="shared" si="55"/>
        <v>1.3619570173860172E-5</v>
      </c>
      <c r="I1200" s="331">
        <v>353745</v>
      </c>
      <c r="J1200" s="331">
        <v>0</v>
      </c>
      <c r="K1200" s="331">
        <f t="shared" si="56"/>
        <v>353745</v>
      </c>
      <c r="L1200" s="199">
        <v>1.38</v>
      </c>
      <c r="M1200" s="199">
        <v>2.12</v>
      </c>
    </row>
    <row r="1201" spans="1:13" ht="15" customHeight="1" x14ac:dyDescent="0.25">
      <c r="A1201" s="49">
        <v>1991</v>
      </c>
      <c r="B1201" s="330" t="s">
        <v>35</v>
      </c>
      <c r="C1201" s="331">
        <v>12016211596</v>
      </c>
      <c r="D1201" s="331">
        <v>6816900090</v>
      </c>
      <c r="E1201" s="331">
        <v>70394933</v>
      </c>
      <c r="F1201" s="331">
        <v>156458</v>
      </c>
      <c r="G1201" s="370">
        <f t="shared" si="54"/>
        <v>1.3020576306436074E-5</v>
      </c>
      <c r="H1201" s="370">
        <f t="shared" si="55"/>
        <v>2.2951487910100791E-5</v>
      </c>
      <c r="I1201" s="331">
        <v>295919</v>
      </c>
      <c r="J1201" s="331">
        <v>0</v>
      </c>
      <c r="K1201" s="331">
        <f t="shared" si="56"/>
        <v>295919</v>
      </c>
      <c r="L1201" s="199">
        <v>1.03</v>
      </c>
      <c r="M1201" s="199">
        <v>2.12</v>
      </c>
    </row>
    <row r="1202" spans="1:13" ht="15" customHeight="1" x14ac:dyDescent="0.25">
      <c r="A1202" s="49">
        <v>1992</v>
      </c>
      <c r="B1202" s="330" t="s">
        <v>35</v>
      </c>
      <c r="C1202" s="331">
        <v>13057905641</v>
      </c>
      <c r="D1202" s="331">
        <v>7386840507</v>
      </c>
      <c r="E1202" s="331">
        <v>72912048</v>
      </c>
      <c r="F1202" s="331">
        <v>152671</v>
      </c>
      <c r="G1202" s="370">
        <f t="shared" si="54"/>
        <v>1.1691844327671842E-5</v>
      </c>
      <c r="H1202" s="370">
        <f t="shared" si="55"/>
        <v>2.0667970271637002E-5</v>
      </c>
      <c r="I1202" s="331">
        <v>233667</v>
      </c>
      <c r="J1202" s="331">
        <v>0</v>
      </c>
      <c r="K1202" s="331">
        <f t="shared" si="56"/>
        <v>233667</v>
      </c>
      <c r="L1202" s="199">
        <v>0.99</v>
      </c>
      <c r="M1202" s="199">
        <v>2.12</v>
      </c>
    </row>
    <row r="1203" spans="1:13" ht="15" customHeight="1" x14ac:dyDescent="0.25">
      <c r="A1203" s="49">
        <v>1993</v>
      </c>
      <c r="B1203" s="330" t="s">
        <v>35</v>
      </c>
      <c r="C1203" s="331">
        <v>14183832171</v>
      </c>
      <c r="D1203" s="331">
        <v>8075371220</v>
      </c>
      <c r="E1203" s="331">
        <v>125072875</v>
      </c>
      <c r="F1203" s="331">
        <v>135016</v>
      </c>
      <c r="G1203" s="370">
        <f t="shared" si="54"/>
        <v>9.5190071605649146E-6</v>
      </c>
      <c r="H1203" s="370">
        <f t="shared" si="55"/>
        <v>1.6719479058202355E-5</v>
      </c>
      <c r="I1203" s="331">
        <v>238398</v>
      </c>
      <c r="J1203" s="331">
        <v>0</v>
      </c>
      <c r="K1203" s="331">
        <f t="shared" si="56"/>
        <v>238398</v>
      </c>
      <c r="L1203" s="199">
        <v>1.55</v>
      </c>
      <c r="M1203" s="199">
        <v>2.12</v>
      </c>
    </row>
    <row r="1204" spans="1:13" ht="15" customHeight="1" x14ac:dyDescent="0.25">
      <c r="A1204" s="49">
        <v>1994</v>
      </c>
      <c r="B1204" s="330" t="s">
        <v>35</v>
      </c>
      <c r="C1204" s="331">
        <v>15887902075</v>
      </c>
      <c r="D1204" s="331">
        <v>9389033014</v>
      </c>
      <c r="E1204" s="331">
        <v>144249895</v>
      </c>
      <c r="F1204" s="331">
        <v>127100</v>
      </c>
      <c r="G1204" s="370">
        <f t="shared" si="54"/>
        <v>7.9997975440693919E-6</v>
      </c>
      <c r="H1204" s="370">
        <f t="shared" si="55"/>
        <v>1.3537070304309401E-5</v>
      </c>
      <c r="I1204" s="331">
        <v>269804</v>
      </c>
      <c r="J1204" s="331">
        <v>0</v>
      </c>
      <c r="K1204" s="331">
        <f t="shared" si="56"/>
        <v>269804</v>
      </c>
      <c r="L1204" s="199">
        <v>1.54</v>
      </c>
      <c r="M1204" s="199">
        <v>2.12</v>
      </c>
    </row>
    <row r="1205" spans="1:13" ht="15" customHeight="1" x14ac:dyDescent="0.25">
      <c r="A1205" s="49">
        <v>1995</v>
      </c>
      <c r="B1205" s="330" t="s">
        <v>35</v>
      </c>
      <c r="C1205" s="331">
        <v>17610114715</v>
      </c>
      <c r="D1205" s="331">
        <v>10345475441</v>
      </c>
      <c r="E1205" s="331">
        <v>156029083</v>
      </c>
      <c r="F1205" s="331">
        <v>143123</v>
      </c>
      <c r="G1205" s="370">
        <f t="shared" si="54"/>
        <v>8.1273178690931656E-6</v>
      </c>
      <c r="H1205" s="370">
        <f t="shared" si="55"/>
        <v>1.3834356943402656E-5</v>
      </c>
      <c r="I1205" s="331">
        <v>297866</v>
      </c>
      <c r="J1205" s="331">
        <v>0</v>
      </c>
      <c r="K1205" s="331">
        <f t="shared" si="56"/>
        <v>297866</v>
      </c>
      <c r="L1205" s="199">
        <v>1.51</v>
      </c>
      <c r="M1205" s="199">
        <v>1.87</v>
      </c>
    </row>
    <row r="1206" spans="1:13" ht="15" customHeight="1" x14ac:dyDescent="0.25">
      <c r="A1206" s="49">
        <v>1996</v>
      </c>
      <c r="B1206" s="330" t="s">
        <v>35</v>
      </c>
      <c r="C1206" s="331">
        <v>19771856890</v>
      </c>
      <c r="D1206" s="331">
        <v>11438198333</v>
      </c>
      <c r="E1206" s="331">
        <v>176382262</v>
      </c>
      <c r="F1206" s="331">
        <v>144205</v>
      </c>
      <c r="G1206" s="370">
        <f t="shared" si="54"/>
        <v>7.2934474896454706E-6</v>
      </c>
      <c r="H1206" s="370">
        <f t="shared" si="55"/>
        <v>1.2607317673794703E-5</v>
      </c>
      <c r="I1206" s="331">
        <v>348278</v>
      </c>
      <c r="J1206" s="331">
        <v>0</v>
      </c>
      <c r="K1206" s="331">
        <f t="shared" si="56"/>
        <v>348278</v>
      </c>
      <c r="L1206" s="199">
        <v>1.54</v>
      </c>
      <c r="M1206" s="199">
        <v>1.7</v>
      </c>
    </row>
    <row r="1207" spans="1:13" ht="15" customHeight="1" x14ac:dyDescent="0.25">
      <c r="A1207" s="49">
        <v>1997</v>
      </c>
      <c r="B1207" s="330" t="s">
        <v>35</v>
      </c>
      <c r="C1207" s="331">
        <v>21565678979</v>
      </c>
      <c r="D1207" s="331">
        <v>12473035246</v>
      </c>
      <c r="E1207" s="331">
        <v>180229496</v>
      </c>
      <c r="F1207" s="331">
        <v>171509</v>
      </c>
      <c r="G1207" s="370">
        <f t="shared" si="54"/>
        <v>7.9528680811306814E-6</v>
      </c>
      <c r="H1207" s="370">
        <f t="shared" si="55"/>
        <v>1.3750382053558417E-5</v>
      </c>
      <c r="I1207" s="331">
        <v>387888</v>
      </c>
      <c r="J1207" s="331">
        <v>0</v>
      </c>
      <c r="K1207" s="331">
        <f t="shared" si="56"/>
        <v>387888</v>
      </c>
      <c r="L1207" s="199">
        <v>1.45</v>
      </c>
      <c r="M1207" s="199">
        <v>1.69</v>
      </c>
    </row>
    <row r="1208" spans="1:13" ht="15" customHeight="1" x14ac:dyDescent="0.25">
      <c r="A1208" s="49">
        <v>1998</v>
      </c>
      <c r="B1208" s="330" t="s">
        <v>35</v>
      </c>
      <c r="C1208" s="331">
        <v>23664586587</v>
      </c>
      <c r="D1208" s="331">
        <v>13676781843</v>
      </c>
      <c r="E1208" s="331">
        <v>192504186</v>
      </c>
      <c r="F1208" s="331">
        <v>171010</v>
      </c>
      <c r="G1208" s="370">
        <f t="shared" si="54"/>
        <v>7.2264097820303069E-6</v>
      </c>
      <c r="H1208" s="370">
        <f t="shared" si="55"/>
        <v>1.2503672425507445E-5</v>
      </c>
      <c r="I1208" s="331">
        <v>425752</v>
      </c>
      <c r="J1208" s="331">
        <v>0</v>
      </c>
      <c r="K1208" s="331">
        <f t="shared" si="56"/>
        <v>425752</v>
      </c>
      <c r="L1208" s="199">
        <v>1.41</v>
      </c>
      <c r="M1208" s="199">
        <v>1.69</v>
      </c>
    </row>
    <row r="1209" spans="1:13" ht="15" customHeight="1" x14ac:dyDescent="0.25">
      <c r="A1209" s="49">
        <v>1999</v>
      </c>
      <c r="B1209" s="330" t="s">
        <v>35</v>
      </c>
      <c r="C1209" s="331">
        <v>25975817060</v>
      </c>
      <c r="D1209" s="331">
        <v>15073015751</v>
      </c>
      <c r="E1209" s="331">
        <v>213956947</v>
      </c>
      <c r="F1209" s="331">
        <v>187749</v>
      </c>
      <c r="G1209" s="370">
        <f t="shared" si="54"/>
        <v>7.227838091342025E-6</v>
      </c>
      <c r="H1209" s="370">
        <f t="shared" si="55"/>
        <v>1.2455967876736547E-5</v>
      </c>
      <c r="I1209" s="331">
        <v>471641</v>
      </c>
      <c r="J1209" s="331">
        <v>0</v>
      </c>
      <c r="K1209" s="331">
        <f t="shared" si="56"/>
        <v>471641</v>
      </c>
      <c r="L1209" s="199">
        <v>1.42</v>
      </c>
      <c r="M1209" s="199">
        <v>1.69</v>
      </c>
    </row>
    <row r="1210" spans="1:13" ht="15" customHeight="1" x14ac:dyDescent="0.25">
      <c r="A1210" s="49">
        <v>2000</v>
      </c>
      <c r="B1210" s="330" t="s">
        <v>35</v>
      </c>
      <c r="C1210" s="331">
        <v>28012054007</v>
      </c>
      <c r="D1210" s="331">
        <v>16353411130</v>
      </c>
      <c r="E1210" s="331">
        <v>212046760</v>
      </c>
      <c r="F1210" s="331">
        <v>199352</v>
      </c>
      <c r="G1210" s="370">
        <f t="shared" si="54"/>
        <v>7.1166505658665174E-6</v>
      </c>
      <c r="H1210" s="370">
        <f t="shared" si="55"/>
        <v>1.2190239602934754E-5</v>
      </c>
      <c r="I1210" s="331">
        <v>507514</v>
      </c>
      <c r="J1210" s="331">
        <v>0</v>
      </c>
      <c r="K1210" s="331">
        <f t="shared" si="56"/>
        <v>507514</v>
      </c>
      <c r="L1210" s="199">
        <v>1.3</v>
      </c>
      <c r="M1210" s="199">
        <v>1.69</v>
      </c>
    </row>
    <row r="1211" spans="1:13" ht="15" customHeight="1" x14ac:dyDescent="0.25">
      <c r="A1211" s="49">
        <v>2001</v>
      </c>
      <c r="B1211" s="330" t="s">
        <v>35</v>
      </c>
      <c r="C1211" s="331">
        <v>29357711631</v>
      </c>
      <c r="D1211" s="331">
        <v>17063965788</v>
      </c>
      <c r="E1211" s="331">
        <v>221679094</v>
      </c>
      <c r="F1211" s="331">
        <v>287525</v>
      </c>
      <c r="G1211" s="370">
        <f t="shared" si="54"/>
        <v>9.7938491805468481E-6</v>
      </c>
      <c r="H1211" s="370">
        <f t="shared" si="55"/>
        <v>1.684983453273201E-5</v>
      </c>
      <c r="I1211" s="331">
        <v>481297</v>
      </c>
      <c r="J1211" s="331">
        <v>0</v>
      </c>
      <c r="K1211" s="331">
        <f t="shared" si="56"/>
        <v>481297</v>
      </c>
      <c r="L1211" s="199">
        <v>1.3</v>
      </c>
      <c r="M1211" s="199">
        <v>1.69</v>
      </c>
    </row>
    <row r="1212" spans="1:13" ht="15" customHeight="1" x14ac:dyDescent="0.25">
      <c r="A1212" s="49">
        <v>2002</v>
      </c>
      <c r="B1212" s="330" t="s">
        <v>35</v>
      </c>
      <c r="C1212" s="331">
        <v>29967600035</v>
      </c>
      <c r="D1212" s="331">
        <v>17377248792</v>
      </c>
      <c r="E1212" s="331">
        <v>224362547</v>
      </c>
      <c r="F1212" s="331">
        <v>338076</v>
      </c>
      <c r="G1212" s="370">
        <f t="shared" si="54"/>
        <v>1.128138388143033E-5</v>
      </c>
      <c r="H1212" s="370">
        <f t="shared" si="55"/>
        <v>1.9455093498784499E-5</v>
      </c>
      <c r="I1212" s="331">
        <v>462658</v>
      </c>
      <c r="J1212" s="331">
        <v>0</v>
      </c>
      <c r="K1212" s="331">
        <f t="shared" si="56"/>
        <v>462658</v>
      </c>
      <c r="L1212" s="199">
        <v>1.29</v>
      </c>
      <c r="M1212" s="199">
        <v>1.69</v>
      </c>
    </row>
    <row r="1213" spans="1:13" ht="15" customHeight="1" x14ac:dyDescent="0.25">
      <c r="A1213" s="49">
        <v>2003</v>
      </c>
      <c r="B1213" s="330" t="s">
        <v>35</v>
      </c>
      <c r="C1213" s="331">
        <v>32188407693</v>
      </c>
      <c r="D1213" s="331">
        <v>18467211476</v>
      </c>
      <c r="E1213" s="331">
        <v>245843791</v>
      </c>
      <c r="F1213" s="331">
        <v>297989</v>
      </c>
      <c r="G1213" s="370">
        <f t="shared" si="54"/>
        <v>9.2576496123106935E-6</v>
      </c>
      <c r="H1213" s="370">
        <f t="shared" si="55"/>
        <v>1.6136112395055783E-5</v>
      </c>
      <c r="I1213" s="331">
        <v>428576</v>
      </c>
      <c r="J1213" s="331">
        <v>0</v>
      </c>
      <c r="K1213" s="331">
        <f t="shared" si="56"/>
        <v>428576</v>
      </c>
      <c r="L1213" s="199">
        <v>1.33</v>
      </c>
      <c r="M1213" s="199">
        <v>1.69</v>
      </c>
    </row>
    <row r="1214" spans="1:13" ht="15" customHeight="1" x14ac:dyDescent="0.25">
      <c r="A1214" s="49">
        <v>2004</v>
      </c>
      <c r="B1214" s="330" t="s">
        <v>35</v>
      </c>
      <c r="C1214" s="331">
        <v>36021975843</v>
      </c>
      <c r="D1214" s="331">
        <v>20347493185</v>
      </c>
      <c r="E1214" s="331">
        <v>276132050</v>
      </c>
      <c r="F1214" s="331">
        <v>248767</v>
      </c>
      <c r="G1214" s="370">
        <f t="shared" si="54"/>
        <v>6.9059787581957932E-6</v>
      </c>
      <c r="H1214" s="370">
        <f t="shared" si="55"/>
        <v>1.2225928655594239E-5</v>
      </c>
      <c r="I1214" s="331">
        <v>468190</v>
      </c>
      <c r="J1214" s="331">
        <v>0</v>
      </c>
      <c r="K1214" s="331">
        <f t="shared" si="56"/>
        <v>468190</v>
      </c>
      <c r="L1214" s="199">
        <v>1.36</v>
      </c>
      <c r="M1214" s="199">
        <v>1.69</v>
      </c>
    </row>
    <row r="1215" spans="1:13" ht="15" customHeight="1" x14ac:dyDescent="0.25">
      <c r="A1215" s="49">
        <v>2005</v>
      </c>
      <c r="B1215" s="330" t="s">
        <v>35</v>
      </c>
      <c r="C1215" s="331">
        <v>40206311802</v>
      </c>
      <c r="D1215" s="331">
        <v>22605052103</v>
      </c>
      <c r="E1215" s="331">
        <v>324537366</v>
      </c>
      <c r="F1215" s="331">
        <v>216431</v>
      </c>
      <c r="G1215" s="370">
        <f t="shared" si="54"/>
        <v>5.3830105349089488E-6</v>
      </c>
      <c r="H1215" s="370">
        <f t="shared" si="55"/>
        <v>9.5744526052774129E-6</v>
      </c>
      <c r="I1215" s="331">
        <v>589866</v>
      </c>
      <c r="J1215" s="331">
        <v>0</v>
      </c>
      <c r="K1215" s="331">
        <f t="shared" si="56"/>
        <v>589866</v>
      </c>
      <c r="L1215" s="199">
        <v>1.44</v>
      </c>
      <c r="M1215" s="199">
        <v>1.69</v>
      </c>
    </row>
    <row r="1216" spans="1:13" ht="15" customHeight="1" x14ac:dyDescent="0.25">
      <c r="A1216" s="49">
        <v>2006</v>
      </c>
      <c r="B1216" s="330" t="s">
        <v>35</v>
      </c>
      <c r="C1216" s="331">
        <v>43428128130</v>
      </c>
      <c r="D1216" s="331">
        <v>24715350437</v>
      </c>
      <c r="E1216" s="331">
        <v>356609584</v>
      </c>
      <c r="F1216" s="331">
        <v>237576</v>
      </c>
      <c r="G1216" s="370">
        <f t="shared" si="54"/>
        <v>5.4705558408786981E-6</v>
      </c>
      <c r="H1216" s="370">
        <f t="shared" si="55"/>
        <v>9.6124876159691416E-6</v>
      </c>
      <c r="I1216" s="331">
        <v>728364</v>
      </c>
      <c r="J1216" s="331">
        <v>0</v>
      </c>
      <c r="K1216" s="331">
        <f t="shared" si="56"/>
        <v>728364</v>
      </c>
      <c r="L1216" s="199">
        <v>1.44</v>
      </c>
      <c r="M1216" s="199">
        <v>1.69</v>
      </c>
    </row>
    <row r="1217" spans="1:13" ht="15" customHeight="1" x14ac:dyDescent="0.25">
      <c r="A1217" s="49">
        <v>2007</v>
      </c>
      <c r="B1217" s="330" t="s">
        <v>35</v>
      </c>
      <c r="C1217" s="331">
        <v>45992011347</v>
      </c>
      <c r="D1217" s="331">
        <v>25565345314</v>
      </c>
      <c r="E1217" s="331">
        <v>360163381</v>
      </c>
      <c r="F1217" s="331">
        <v>327180</v>
      </c>
      <c r="G1217" s="370">
        <f t="shared" si="54"/>
        <v>7.1138441311360814E-6</v>
      </c>
      <c r="H1217" s="370">
        <f t="shared" si="55"/>
        <v>1.2797793105529887E-5</v>
      </c>
      <c r="I1217" s="331">
        <v>793215</v>
      </c>
      <c r="J1217" s="331">
        <v>0</v>
      </c>
      <c r="K1217" s="331">
        <f t="shared" si="56"/>
        <v>793215</v>
      </c>
      <c r="L1217" s="199">
        <v>1.41</v>
      </c>
      <c r="M1217" s="199">
        <v>1.69</v>
      </c>
    </row>
    <row r="1218" spans="1:13" ht="15" customHeight="1" x14ac:dyDescent="0.25">
      <c r="A1218" s="49">
        <v>2008</v>
      </c>
      <c r="B1218" s="330" t="s">
        <v>35</v>
      </c>
      <c r="C1218" s="331">
        <v>45202114476</v>
      </c>
      <c r="D1218" s="331">
        <v>25460849330</v>
      </c>
      <c r="E1218" s="331">
        <v>340091474</v>
      </c>
      <c r="F1218" s="331">
        <v>568475</v>
      </c>
      <c r="G1218" s="370">
        <f t="shared" ref="G1218:G1281" si="57">F1218/C1218</f>
        <v>1.2576292206459302E-5</v>
      </c>
      <c r="H1218" s="370">
        <f t="shared" ref="H1218:H1281" si="58">F1218/D1218</f>
        <v>2.2327416993516297E-5</v>
      </c>
      <c r="I1218" s="331">
        <v>606022</v>
      </c>
      <c r="J1218" s="331">
        <v>0</v>
      </c>
      <c r="K1218" s="331">
        <f t="shared" ref="K1218:K1281" si="59">I1218-J1218</f>
        <v>606022</v>
      </c>
      <c r="L1218" s="199">
        <v>1.3</v>
      </c>
      <c r="M1218" s="199">
        <v>1.69</v>
      </c>
    </row>
    <row r="1219" spans="1:13" ht="15" customHeight="1" x14ac:dyDescent="0.25">
      <c r="A1219" s="49">
        <v>2009</v>
      </c>
      <c r="B1219" s="330" t="s">
        <v>35</v>
      </c>
      <c r="C1219" s="331">
        <v>39824583499</v>
      </c>
      <c r="D1219" s="331">
        <v>23170094109</v>
      </c>
      <c r="E1219" s="331">
        <v>289585224</v>
      </c>
      <c r="F1219" s="331">
        <v>1093522</v>
      </c>
      <c r="G1219" s="370">
        <f t="shared" si="57"/>
        <v>2.7458466703800142E-5</v>
      </c>
      <c r="H1219" s="370">
        <f t="shared" si="58"/>
        <v>4.7195406063337541E-5</v>
      </c>
      <c r="I1219" s="331">
        <v>41478</v>
      </c>
      <c r="J1219" s="331">
        <v>127071</v>
      </c>
      <c r="K1219" s="331">
        <f t="shared" si="59"/>
        <v>-85593</v>
      </c>
      <c r="L1219" s="199">
        <v>1.2</v>
      </c>
      <c r="M1219" s="199">
        <v>1.77</v>
      </c>
    </row>
    <row r="1220" spans="1:13" ht="15" customHeight="1" x14ac:dyDescent="0.25">
      <c r="A1220" s="49">
        <v>2010</v>
      </c>
      <c r="B1220" s="330" t="s">
        <v>35</v>
      </c>
      <c r="C1220" s="331">
        <v>38471433417</v>
      </c>
      <c r="D1220" s="331">
        <v>22458818054</v>
      </c>
      <c r="E1220" s="331">
        <v>273854171</v>
      </c>
      <c r="F1220" s="331">
        <v>783871</v>
      </c>
      <c r="G1220" s="370">
        <f t="shared" si="57"/>
        <v>2.0375404043396472E-5</v>
      </c>
      <c r="H1220" s="370">
        <f t="shared" si="58"/>
        <v>3.4902593632276635E-5</v>
      </c>
      <c r="I1220" s="331">
        <v>31980</v>
      </c>
      <c r="J1220" s="331">
        <v>620602</v>
      </c>
      <c r="K1220" s="331">
        <f t="shared" si="59"/>
        <v>-588622</v>
      </c>
      <c r="L1220" s="199">
        <v>1.2</v>
      </c>
      <c r="M1220" s="199">
        <v>2.0299999999999998</v>
      </c>
    </row>
    <row r="1221" spans="1:13" ht="15" customHeight="1" x14ac:dyDescent="0.25">
      <c r="A1221" s="49">
        <v>2011</v>
      </c>
      <c r="B1221" s="330" t="s">
        <v>35</v>
      </c>
      <c r="C1221" s="331">
        <v>39570816974</v>
      </c>
      <c r="D1221" s="331">
        <v>22625683623</v>
      </c>
      <c r="E1221" s="331">
        <v>418287836</v>
      </c>
      <c r="F1221" s="331">
        <v>563848</v>
      </c>
      <c r="G1221" s="370">
        <f t="shared" si="57"/>
        <v>1.4249086653188794E-5</v>
      </c>
      <c r="H1221" s="370">
        <f t="shared" si="58"/>
        <v>2.4920705574916807E-5</v>
      </c>
      <c r="I1221" s="331">
        <v>25618</v>
      </c>
      <c r="J1221" s="331">
        <v>764804</v>
      </c>
      <c r="K1221" s="331">
        <f t="shared" si="59"/>
        <v>-739186</v>
      </c>
      <c r="L1221" s="199">
        <v>1.8</v>
      </c>
      <c r="M1221" s="199">
        <v>2.0699999999999998</v>
      </c>
    </row>
    <row r="1222" spans="1:13" ht="15" customHeight="1" x14ac:dyDescent="0.25">
      <c r="A1222" s="49">
        <v>2012</v>
      </c>
      <c r="B1222" s="330" t="s">
        <v>35</v>
      </c>
      <c r="C1222" s="331">
        <v>41069081418</v>
      </c>
      <c r="D1222" s="331">
        <v>22977910618</v>
      </c>
      <c r="E1222" s="331">
        <v>527851626</v>
      </c>
      <c r="F1222" s="331">
        <v>493415</v>
      </c>
      <c r="G1222" s="370">
        <f t="shared" si="57"/>
        <v>1.201426920115489E-5</v>
      </c>
      <c r="H1222" s="370">
        <f t="shared" si="58"/>
        <v>2.1473449357639937E-5</v>
      </c>
      <c r="I1222" s="331">
        <v>17402</v>
      </c>
      <c r="J1222" s="331">
        <v>676563</v>
      </c>
      <c r="K1222" s="331">
        <f t="shared" si="59"/>
        <v>-659161</v>
      </c>
      <c r="L1222" s="199">
        <v>2.2999999999999998</v>
      </c>
      <c r="M1222" s="199">
        <v>2.0699999999999998</v>
      </c>
    </row>
    <row r="1223" spans="1:13" ht="15" customHeight="1" x14ac:dyDescent="0.25">
      <c r="A1223" s="49">
        <v>2013</v>
      </c>
      <c r="B1223" s="330" t="s">
        <v>35</v>
      </c>
      <c r="C1223" s="331">
        <v>42772223234</v>
      </c>
      <c r="D1223" s="331">
        <v>23896377868</v>
      </c>
      <c r="E1223" s="331">
        <v>531077960</v>
      </c>
      <c r="F1223" s="331">
        <v>425662</v>
      </c>
      <c r="G1223" s="370">
        <f t="shared" si="57"/>
        <v>9.9518324701353775E-6</v>
      </c>
      <c r="H1223" s="370">
        <f t="shared" si="58"/>
        <v>1.7812825121501379E-5</v>
      </c>
      <c r="I1223" s="331">
        <v>97231</v>
      </c>
      <c r="J1223" s="331">
        <v>0</v>
      </c>
      <c r="K1223" s="331">
        <f t="shared" si="59"/>
        <v>97231</v>
      </c>
      <c r="L1223" s="199">
        <v>2.2200000000000002</v>
      </c>
      <c r="M1223" s="199">
        <v>2.0699999999999998</v>
      </c>
    </row>
    <row r="1224" spans="1:13" ht="15" customHeight="1" x14ac:dyDescent="0.25">
      <c r="A1224" s="49">
        <v>2014</v>
      </c>
      <c r="B1224" s="330" t="s">
        <v>35</v>
      </c>
      <c r="C1224" s="331">
        <v>45086928122</v>
      </c>
      <c r="D1224" s="331">
        <v>25275417746</v>
      </c>
      <c r="E1224" s="331">
        <v>497463344</v>
      </c>
      <c r="F1224" s="331">
        <v>369488</v>
      </c>
      <c r="G1224" s="370">
        <f t="shared" si="57"/>
        <v>8.1950138408234055E-6</v>
      </c>
      <c r="H1224" s="370">
        <f t="shared" si="58"/>
        <v>1.46184725298348E-5</v>
      </c>
      <c r="I1224" s="331">
        <v>237460</v>
      </c>
      <c r="J1224" s="331">
        <v>0</v>
      </c>
      <c r="K1224" s="331">
        <f t="shared" si="59"/>
        <v>237460</v>
      </c>
      <c r="L1224" s="333">
        <v>1.9681706114579522</v>
      </c>
      <c r="M1224" s="199">
        <v>2.0699999999999998</v>
      </c>
    </row>
    <row r="1225" spans="1:13" ht="15" customHeight="1" x14ac:dyDescent="0.25">
      <c r="A1225" s="49">
        <v>2015</v>
      </c>
      <c r="B1225" s="330" t="s">
        <v>35</v>
      </c>
      <c r="C1225" s="334">
        <v>47848576000</v>
      </c>
      <c r="D1225" s="334">
        <v>26805994000</v>
      </c>
      <c r="E1225" s="334">
        <v>540557000</v>
      </c>
      <c r="F1225" s="331">
        <v>343438</v>
      </c>
      <c r="G1225" s="370">
        <f t="shared" si="57"/>
        <v>7.1776012728153082E-6</v>
      </c>
      <c r="H1225" s="370">
        <f t="shared" si="58"/>
        <v>1.2811985259714675E-5</v>
      </c>
      <c r="I1225" s="331">
        <v>447023</v>
      </c>
      <c r="J1225" s="199">
        <v>0</v>
      </c>
      <c r="K1225" s="331">
        <f t="shared" si="59"/>
        <v>447023</v>
      </c>
      <c r="L1225" s="199">
        <v>2.1</v>
      </c>
      <c r="M1225" s="199">
        <v>2.0699999999999998</v>
      </c>
    </row>
    <row r="1226" spans="1:13" x14ac:dyDescent="0.25">
      <c r="A1226" s="49">
        <v>1980</v>
      </c>
      <c r="B1226" s="330" t="s">
        <v>36</v>
      </c>
      <c r="C1226" s="331">
        <v>86051549009</v>
      </c>
      <c r="D1226" s="331">
        <v>33706715040</v>
      </c>
      <c r="E1226" s="331">
        <v>1177379698</v>
      </c>
      <c r="F1226" s="331">
        <v>1006523</v>
      </c>
      <c r="G1226" s="370">
        <f t="shared" si="57"/>
        <v>1.1696744702349626E-5</v>
      </c>
      <c r="H1226" s="370">
        <f t="shared" si="58"/>
        <v>2.9861201211852058E-5</v>
      </c>
      <c r="I1226" s="331">
        <v>510319</v>
      </c>
      <c r="J1226" s="331">
        <v>0</v>
      </c>
      <c r="K1226" s="331">
        <f t="shared" si="59"/>
        <v>510319</v>
      </c>
      <c r="L1226" s="199">
        <v>3.49</v>
      </c>
      <c r="M1226" s="199">
        <v>2.0699999999999998</v>
      </c>
    </row>
    <row r="1227" spans="1:13" ht="15" customHeight="1" x14ac:dyDescent="0.25">
      <c r="A1227" s="49">
        <v>1981</v>
      </c>
      <c r="B1227" s="330" t="s">
        <v>36</v>
      </c>
      <c r="C1227" s="331">
        <v>95014647707</v>
      </c>
      <c r="D1227" s="331">
        <v>34878014139</v>
      </c>
      <c r="E1227" s="331">
        <v>1126305302</v>
      </c>
      <c r="F1227" s="331">
        <v>903853</v>
      </c>
      <c r="G1227" s="370">
        <f t="shared" si="57"/>
        <v>9.5127753647757888E-6</v>
      </c>
      <c r="H1227" s="370">
        <f t="shared" si="58"/>
        <v>2.5914692172491754E-5</v>
      </c>
      <c r="I1227" s="331">
        <v>777989</v>
      </c>
      <c r="J1227" s="331">
        <v>0</v>
      </c>
      <c r="K1227" s="331">
        <f t="shared" si="59"/>
        <v>777989</v>
      </c>
      <c r="L1227" s="199">
        <v>3.23</v>
      </c>
      <c r="M1227" s="199">
        <v>2.0299999999999998</v>
      </c>
    </row>
    <row r="1228" spans="1:13" ht="15" customHeight="1" x14ac:dyDescent="0.25">
      <c r="A1228" s="49">
        <v>1982</v>
      </c>
      <c r="B1228" s="330" t="s">
        <v>36</v>
      </c>
      <c r="C1228" s="331">
        <v>102295100472</v>
      </c>
      <c r="D1228" s="331">
        <v>34883789228</v>
      </c>
      <c r="E1228" s="331">
        <v>1086390241</v>
      </c>
      <c r="F1228" s="331">
        <v>1131938</v>
      </c>
      <c r="G1228" s="370">
        <f t="shared" si="57"/>
        <v>1.1065417549590576E-5</v>
      </c>
      <c r="H1228" s="370">
        <f t="shared" si="58"/>
        <v>3.2448825802772394E-5</v>
      </c>
      <c r="I1228" s="331">
        <v>819262</v>
      </c>
      <c r="J1228" s="331">
        <v>0</v>
      </c>
      <c r="K1228" s="331">
        <f t="shared" si="59"/>
        <v>819262</v>
      </c>
      <c r="L1228" s="199">
        <v>3.11</v>
      </c>
      <c r="M1228" s="199">
        <v>2.0299999999999998</v>
      </c>
    </row>
    <row r="1229" spans="1:13" ht="15" customHeight="1" x14ac:dyDescent="0.25">
      <c r="A1229" s="49">
        <v>1983</v>
      </c>
      <c r="B1229" s="330" t="s">
        <v>36</v>
      </c>
      <c r="C1229" s="331">
        <v>109159927692</v>
      </c>
      <c r="D1229" s="331">
        <v>39744646249</v>
      </c>
      <c r="E1229" s="331">
        <v>1234147618</v>
      </c>
      <c r="F1229" s="331">
        <v>1090798</v>
      </c>
      <c r="G1229" s="370">
        <f t="shared" si="57"/>
        <v>9.9926596056177233E-6</v>
      </c>
      <c r="H1229" s="370">
        <f t="shared" si="58"/>
        <v>2.7445155585639291E-5</v>
      </c>
      <c r="I1229" s="331">
        <v>960544</v>
      </c>
      <c r="J1229" s="331">
        <v>0</v>
      </c>
      <c r="K1229" s="331">
        <f t="shared" si="59"/>
        <v>960544</v>
      </c>
      <c r="L1229" s="199">
        <v>3.11</v>
      </c>
      <c r="M1229" s="199">
        <v>2.0299999999999998</v>
      </c>
    </row>
    <row r="1230" spans="1:13" ht="15" customHeight="1" x14ac:dyDescent="0.25">
      <c r="A1230" s="49">
        <v>1984</v>
      </c>
      <c r="B1230" s="330" t="s">
        <v>36</v>
      </c>
      <c r="C1230" s="331">
        <v>119262072905</v>
      </c>
      <c r="D1230" s="331">
        <v>41887183319</v>
      </c>
      <c r="E1230" s="331">
        <v>1355380118</v>
      </c>
      <c r="F1230" s="331">
        <v>1079852</v>
      </c>
      <c r="G1230" s="370">
        <f t="shared" si="57"/>
        <v>9.054446008666748E-6</v>
      </c>
      <c r="H1230" s="370">
        <f t="shared" si="58"/>
        <v>2.5780009884555302E-5</v>
      </c>
      <c r="I1230" s="331">
        <v>1320990</v>
      </c>
      <c r="J1230" s="331">
        <v>0</v>
      </c>
      <c r="K1230" s="331">
        <f t="shared" si="59"/>
        <v>1320990</v>
      </c>
      <c r="L1230" s="199">
        <v>3.24</v>
      </c>
      <c r="M1230" s="199">
        <v>2.0299999999999998</v>
      </c>
    </row>
    <row r="1231" spans="1:13" ht="15" customHeight="1" x14ac:dyDescent="0.25">
      <c r="A1231" s="49">
        <v>1985</v>
      </c>
      <c r="B1231" s="330" t="s">
        <v>36</v>
      </c>
      <c r="C1231" s="331">
        <v>128960696190</v>
      </c>
      <c r="D1231" s="331">
        <v>43554869084</v>
      </c>
      <c r="E1231" s="331">
        <v>1420501652</v>
      </c>
      <c r="F1231" s="331">
        <v>1146273</v>
      </c>
      <c r="G1231" s="370">
        <f t="shared" si="57"/>
        <v>8.8885453775092551E-6</v>
      </c>
      <c r="H1231" s="370">
        <f t="shared" si="58"/>
        <v>2.631790713890784E-5</v>
      </c>
      <c r="I1231" s="331">
        <v>1699479</v>
      </c>
      <c r="J1231" s="331">
        <v>0</v>
      </c>
      <c r="K1231" s="331">
        <f t="shared" si="59"/>
        <v>1699479</v>
      </c>
      <c r="L1231" s="199">
        <v>3.26</v>
      </c>
      <c r="M1231" s="199">
        <v>2.0299999999999998</v>
      </c>
    </row>
    <row r="1232" spans="1:13" ht="15" customHeight="1" x14ac:dyDescent="0.25">
      <c r="A1232" s="49">
        <v>1986</v>
      </c>
      <c r="B1232" s="330" t="s">
        <v>36</v>
      </c>
      <c r="C1232" s="331">
        <v>139173505379</v>
      </c>
      <c r="D1232" s="331">
        <v>44862233840</v>
      </c>
      <c r="E1232" s="331">
        <v>1459165801</v>
      </c>
      <c r="F1232" s="331">
        <v>1128171</v>
      </c>
      <c r="G1232" s="370">
        <f t="shared" si="57"/>
        <v>8.1062196208088792E-6</v>
      </c>
      <c r="H1232" s="370">
        <f t="shared" si="58"/>
        <v>2.5147454850857244E-5</v>
      </c>
      <c r="I1232" s="331">
        <v>2184109</v>
      </c>
      <c r="J1232" s="331">
        <v>0</v>
      </c>
      <c r="K1232" s="331">
        <f t="shared" si="59"/>
        <v>2184109</v>
      </c>
      <c r="L1232" s="199">
        <v>3.25</v>
      </c>
      <c r="M1232" s="199">
        <v>2.0299999999999998</v>
      </c>
    </row>
    <row r="1233" spans="1:13" ht="15" customHeight="1" x14ac:dyDescent="0.25">
      <c r="A1233" s="49">
        <v>1987</v>
      </c>
      <c r="B1233" s="330" t="s">
        <v>36</v>
      </c>
      <c r="C1233" s="331">
        <v>150566009751</v>
      </c>
      <c r="D1233" s="331">
        <v>46321893049</v>
      </c>
      <c r="E1233" s="331">
        <v>1364476063</v>
      </c>
      <c r="F1233" s="331">
        <v>1039970</v>
      </c>
      <c r="G1233" s="370">
        <f t="shared" si="57"/>
        <v>6.9070702060834345E-6</v>
      </c>
      <c r="H1233" s="370">
        <f t="shared" si="58"/>
        <v>2.2450939103458141E-5</v>
      </c>
      <c r="I1233" s="331">
        <v>2705476</v>
      </c>
      <c r="J1233" s="331">
        <v>0</v>
      </c>
      <c r="K1233" s="331">
        <f t="shared" si="59"/>
        <v>2705476</v>
      </c>
      <c r="L1233" s="199">
        <v>2.95</v>
      </c>
      <c r="M1233" s="199">
        <v>2.0299999999999998</v>
      </c>
    </row>
    <row r="1234" spans="1:13" ht="15" customHeight="1" x14ac:dyDescent="0.25">
      <c r="A1234" s="49">
        <v>1988</v>
      </c>
      <c r="B1234" s="330" t="s">
        <v>36</v>
      </c>
      <c r="C1234" s="331">
        <v>163365737636</v>
      </c>
      <c r="D1234" s="331">
        <v>47246364397</v>
      </c>
      <c r="E1234" s="331">
        <v>1350088086</v>
      </c>
      <c r="F1234" s="331">
        <v>1025004</v>
      </c>
      <c r="G1234" s="370">
        <f t="shared" si="57"/>
        <v>6.2742899143505936E-6</v>
      </c>
      <c r="H1234" s="370">
        <f t="shared" si="58"/>
        <v>2.1694875639258384E-5</v>
      </c>
      <c r="I1234" s="331">
        <v>3260130</v>
      </c>
      <c r="J1234" s="331">
        <v>0</v>
      </c>
      <c r="K1234" s="331">
        <f t="shared" si="59"/>
        <v>3260130</v>
      </c>
      <c r="L1234" s="199">
        <v>2.86</v>
      </c>
      <c r="M1234" s="199">
        <v>2.0299999999999998</v>
      </c>
    </row>
    <row r="1235" spans="1:13" ht="15" customHeight="1" x14ac:dyDescent="0.25">
      <c r="A1235" s="49">
        <v>1989</v>
      </c>
      <c r="B1235" s="330" t="s">
        <v>36</v>
      </c>
      <c r="C1235" s="331">
        <v>168121663413</v>
      </c>
      <c r="D1235" s="331">
        <v>47679471290</v>
      </c>
      <c r="E1235" s="331">
        <v>891790909</v>
      </c>
      <c r="F1235" s="331">
        <v>1316504</v>
      </c>
      <c r="G1235" s="370">
        <f t="shared" si="57"/>
        <v>7.8306624695113593E-6</v>
      </c>
      <c r="H1235" s="370">
        <f t="shared" si="58"/>
        <v>2.7611547787362221E-5</v>
      </c>
      <c r="I1235" s="331">
        <v>3180995</v>
      </c>
      <c r="J1235" s="331">
        <v>0</v>
      </c>
      <c r="K1235" s="331">
        <f t="shared" si="59"/>
        <v>3180995</v>
      </c>
      <c r="L1235" s="199">
        <v>1.87</v>
      </c>
      <c r="M1235" s="199">
        <v>2.0299999999999998</v>
      </c>
    </row>
    <row r="1236" spans="1:13" ht="15" customHeight="1" x14ac:dyDescent="0.25">
      <c r="A1236" s="49">
        <v>1990</v>
      </c>
      <c r="B1236" s="330" t="s">
        <v>36</v>
      </c>
      <c r="C1236" s="331">
        <v>175132807689</v>
      </c>
      <c r="D1236" s="331">
        <v>46790784858</v>
      </c>
      <c r="E1236" s="331">
        <v>887334261</v>
      </c>
      <c r="F1236" s="331">
        <v>1757117</v>
      </c>
      <c r="G1236" s="370">
        <f t="shared" si="57"/>
        <v>1.0033054475551376E-5</v>
      </c>
      <c r="H1236" s="370">
        <f t="shared" si="58"/>
        <v>3.7552629333585091E-5</v>
      </c>
      <c r="I1236" s="331">
        <v>2551722</v>
      </c>
      <c r="J1236" s="331">
        <v>0</v>
      </c>
      <c r="K1236" s="331">
        <f t="shared" si="59"/>
        <v>2551722</v>
      </c>
      <c r="L1236" s="199">
        <v>1.9</v>
      </c>
      <c r="M1236" s="199">
        <v>2.0299999999999998</v>
      </c>
    </row>
    <row r="1237" spans="1:13" ht="15" customHeight="1" x14ac:dyDescent="0.25">
      <c r="A1237" s="49">
        <v>1991</v>
      </c>
      <c r="B1237" s="330" t="s">
        <v>36</v>
      </c>
      <c r="C1237" s="331">
        <v>172941631982</v>
      </c>
      <c r="D1237" s="331">
        <v>44582187014</v>
      </c>
      <c r="E1237" s="331">
        <v>1008476455</v>
      </c>
      <c r="F1237" s="331">
        <v>2456585</v>
      </c>
      <c r="G1237" s="370">
        <f t="shared" si="57"/>
        <v>1.4204705783369065E-5</v>
      </c>
      <c r="H1237" s="370">
        <f t="shared" si="58"/>
        <v>5.5102388746172692E-5</v>
      </c>
      <c r="I1237" s="331">
        <v>1191450</v>
      </c>
      <c r="J1237" s="331">
        <v>0</v>
      </c>
      <c r="K1237" s="331">
        <f t="shared" si="59"/>
        <v>1191450</v>
      </c>
      <c r="L1237" s="199">
        <v>2.2599999999999998</v>
      </c>
      <c r="M1237" s="199">
        <v>2</v>
      </c>
    </row>
    <row r="1238" spans="1:13" ht="15" customHeight="1" x14ac:dyDescent="0.25">
      <c r="A1238" s="49">
        <v>1992</v>
      </c>
      <c r="B1238" s="330" t="s">
        <v>36</v>
      </c>
      <c r="C1238" s="331">
        <v>184066917337</v>
      </c>
      <c r="D1238" s="331">
        <v>43096952082</v>
      </c>
      <c r="E1238" s="331">
        <v>1405130499</v>
      </c>
      <c r="F1238" s="331">
        <v>2439112</v>
      </c>
      <c r="G1238" s="370">
        <f t="shared" si="57"/>
        <v>1.3251224257395137E-5</v>
      </c>
      <c r="H1238" s="370">
        <f t="shared" si="58"/>
        <v>5.6595928068396435E-5</v>
      </c>
      <c r="I1238" s="331">
        <v>213914</v>
      </c>
      <c r="J1238" s="331">
        <v>0</v>
      </c>
      <c r="K1238" s="331">
        <f t="shared" si="59"/>
        <v>213914</v>
      </c>
      <c r="L1238" s="199">
        <v>3.26</v>
      </c>
      <c r="M1238" s="199">
        <v>2</v>
      </c>
    </row>
    <row r="1239" spans="1:13" ht="15" customHeight="1" x14ac:dyDescent="0.25">
      <c r="A1239" s="49">
        <v>1993</v>
      </c>
      <c r="B1239" s="330" t="s">
        <v>36</v>
      </c>
      <c r="C1239" s="331">
        <v>186156151232</v>
      </c>
      <c r="D1239" s="331">
        <v>43324367754</v>
      </c>
      <c r="E1239" s="331">
        <v>2039167298</v>
      </c>
      <c r="F1239" s="331">
        <v>1987476</v>
      </c>
      <c r="G1239" s="370">
        <f t="shared" si="57"/>
        <v>1.0676391764906425E-5</v>
      </c>
      <c r="H1239" s="370">
        <f t="shared" si="58"/>
        <v>4.5874322074013477E-5</v>
      </c>
      <c r="I1239" s="331">
        <v>129409</v>
      </c>
      <c r="J1239" s="331">
        <v>0</v>
      </c>
      <c r="K1239" s="331">
        <f t="shared" si="59"/>
        <v>129409</v>
      </c>
      <c r="L1239" s="199">
        <v>4.71</v>
      </c>
      <c r="M1239" s="199">
        <v>2</v>
      </c>
    </row>
    <row r="1240" spans="1:13" ht="15" customHeight="1" x14ac:dyDescent="0.25">
      <c r="A1240" s="49">
        <v>1994</v>
      </c>
      <c r="B1240" s="330" t="s">
        <v>36</v>
      </c>
      <c r="C1240" s="331">
        <v>189335422603</v>
      </c>
      <c r="D1240" s="331">
        <v>44345417400</v>
      </c>
      <c r="E1240" s="331">
        <v>2073434824</v>
      </c>
      <c r="F1240" s="331">
        <v>2000260</v>
      </c>
      <c r="G1240" s="370">
        <f t="shared" si="57"/>
        <v>1.0564636941678688E-5</v>
      </c>
      <c r="H1240" s="370">
        <f t="shared" si="58"/>
        <v>4.5106351845951955E-5</v>
      </c>
      <c r="I1240" s="331">
        <v>190467</v>
      </c>
      <c r="J1240" s="331">
        <v>0</v>
      </c>
      <c r="K1240" s="331">
        <f t="shared" si="59"/>
        <v>190467</v>
      </c>
      <c r="L1240" s="199">
        <v>4.68</v>
      </c>
      <c r="M1240" s="199">
        <v>2</v>
      </c>
    </row>
    <row r="1241" spans="1:13" ht="15" customHeight="1" x14ac:dyDescent="0.25">
      <c r="A1241" s="49">
        <v>1995</v>
      </c>
      <c r="B1241" s="330" t="s">
        <v>36</v>
      </c>
      <c r="C1241" s="331">
        <v>200117858914</v>
      </c>
      <c r="D1241" s="331">
        <v>44908187894</v>
      </c>
      <c r="E1241" s="331">
        <v>2039027259</v>
      </c>
      <c r="F1241" s="331">
        <v>1988026</v>
      </c>
      <c r="G1241" s="370">
        <f t="shared" si="57"/>
        <v>9.9342757852228853E-6</v>
      </c>
      <c r="H1241" s="370">
        <f t="shared" si="58"/>
        <v>4.4268675562961472E-5</v>
      </c>
      <c r="I1241" s="331">
        <v>248978</v>
      </c>
      <c r="J1241" s="331">
        <v>0</v>
      </c>
      <c r="K1241" s="331">
        <f t="shared" si="59"/>
        <v>248978</v>
      </c>
      <c r="L1241" s="199">
        <v>4.54</v>
      </c>
      <c r="M1241" s="199">
        <v>1.64</v>
      </c>
    </row>
    <row r="1242" spans="1:13" ht="15" customHeight="1" x14ac:dyDescent="0.25">
      <c r="A1242" s="49">
        <v>1996</v>
      </c>
      <c r="B1242" s="330" t="s">
        <v>36</v>
      </c>
      <c r="C1242" s="331">
        <v>215037539267</v>
      </c>
      <c r="D1242" s="331">
        <v>45880931939</v>
      </c>
      <c r="E1242" s="331">
        <v>2021408563</v>
      </c>
      <c r="F1242" s="331">
        <v>1824319</v>
      </c>
      <c r="G1242" s="370">
        <f t="shared" si="57"/>
        <v>8.4837233825246015E-6</v>
      </c>
      <c r="H1242" s="370">
        <f t="shared" si="58"/>
        <v>3.9762030170300025E-5</v>
      </c>
      <c r="I1242" s="331">
        <v>470400</v>
      </c>
      <c r="J1242" s="331">
        <v>0</v>
      </c>
      <c r="K1242" s="331">
        <f t="shared" si="59"/>
        <v>470400</v>
      </c>
      <c r="L1242" s="199">
        <v>4.41</v>
      </c>
      <c r="M1242" s="199">
        <v>1.46</v>
      </c>
    </row>
    <row r="1243" spans="1:13" ht="15" customHeight="1" x14ac:dyDescent="0.25">
      <c r="A1243" s="49">
        <v>1997</v>
      </c>
      <c r="B1243" s="330" t="s">
        <v>36</v>
      </c>
      <c r="C1243" s="331">
        <v>230531685971</v>
      </c>
      <c r="D1243" s="331">
        <v>47737322953</v>
      </c>
      <c r="E1243" s="331">
        <v>1932883301</v>
      </c>
      <c r="F1243" s="331">
        <v>1625912</v>
      </c>
      <c r="G1243" s="370">
        <f t="shared" si="57"/>
        <v>7.0528786233946749E-6</v>
      </c>
      <c r="H1243" s="370">
        <f t="shared" si="58"/>
        <v>3.4059555488706377E-5</v>
      </c>
      <c r="I1243" s="331">
        <v>990176</v>
      </c>
      <c r="J1243" s="331">
        <v>0</v>
      </c>
      <c r="K1243" s="331">
        <f t="shared" si="59"/>
        <v>990176</v>
      </c>
      <c r="L1243" s="199">
        <v>4.05</v>
      </c>
      <c r="M1243" s="199">
        <v>1.37</v>
      </c>
    </row>
    <row r="1244" spans="1:13" ht="15" customHeight="1" x14ac:dyDescent="0.25">
      <c r="A1244" s="49">
        <v>1998</v>
      </c>
      <c r="B1244" s="330" t="s">
        <v>36</v>
      </c>
      <c r="C1244" s="331">
        <v>251825053086</v>
      </c>
      <c r="D1244" s="331">
        <v>50299224743</v>
      </c>
      <c r="E1244" s="331">
        <v>1538622918</v>
      </c>
      <c r="F1244" s="331">
        <v>1491963</v>
      </c>
      <c r="G1244" s="370">
        <f t="shared" si="57"/>
        <v>5.9246011535257545E-6</v>
      </c>
      <c r="H1244" s="370">
        <f t="shared" si="58"/>
        <v>2.9661749413098702E-5</v>
      </c>
      <c r="I1244" s="331">
        <v>979950</v>
      </c>
      <c r="J1244" s="331">
        <v>0</v>
      </c>
      <c r="K1244" s="331">
        <f t="shared" si="59"/>
        <v>979950</v>
      </c>
      <c r="L1244" s="199">
        <v>3.06</v>
      </c>
      <c r="M1244" s="199">
        <v>1.33</v>
      </c>
    </row>
    <row r="1245" spans="1:13" ht="15" customHeight="1" x14ac:dyDescent="0.25">
      <c r="A1245" s="49">
        <v>1999</v>
      </c>
      <c r="B1245" s="330" t="s">
        <v>36</v>
      </c>
      <c r="C1245" s="331">
        <v>269292847712</v>
      </c>
      <c r="D1245" s="331">
        <v>59149719392</v>
      </c>
      <c r="E1245" s="331">
        <v>1579089046</v>
      </c>
      <c r="F1245" s="331">
        <v>1526780</v>
      </c>
      <c r="G1245" s="370">
        <f t="shared" si="57"/>
        <v>5.6695898646102995E-6</v>
      </c>
      <c r="H1245" s="370">
        <f t="shared" si="58"/>
        <v>2.581212583413366E-5</v>
      </c>
      <c r="I1245" s="331">
        <v>862781</v>
      </c>
      <c r="J1245" s="331">
        <v>0</v>
      </c>
      <c r="K1245" s="331">
        <f t="shared" si="59"/>
        <v>862781</v>
      </c>
      <c r="L1245" s="199">
        <v>2.67</v>
      </c>
      <c r="M1245" s="199">
        <v>1.33</v>
      </c>
    </row>
    <row r="1246" spans="1:13" ht="15" customHeight="1" x14ac:dyDescent="0.25">
      <c r="A1246" s="49">
        <v>2000</v>
      </c>
      <c r="B1246" s="330" t="s">
        <v>36</v>
      </c>
      <c r="C1246" s="331">
        <v>296838793352</v>
      </c>
      <c r="D1246" s="331">
        <v>61286824033</v>
      </c>
      <c r="E1246" s="331">
        <v>1929996346</v>
      </c>
      <c r="F1246" s="331">
        <v>1562935</v>
      </c>
      <c r="G1246" s="370">
        <f t="shared" si="57"/>
        <v>5.2652653056254229E-6</v>
      </c>
      <c r="H1246" s="370">
        <f t="shared" si="58"/>
        <v>2.5501974113692607E-5</v>
      </c>
      <c r="I1246" s="331">
        <v>1204694</v>
      </c>
      <c r="J1246" s="331">
        <v>0</v>
      </c>
      <c r="K1246" s="331">
        <f t="shared" si="59"/>
        <v>1204694</v>
      </c>
      <c r="L1246" s="199">
        <v>3.15</v>
      </c>
      <c r="M1246" s="199">
        <v>1.33</v>
      </c>
    </row>
    <row r="1247" spans="1:13" ht="15" customHeight="1" x14ac:dyDescent="0.25">
      <c r="A1247" s="49">
        <v>2001</v>
      </c>
      <c r="B1247" s="330" t="s">
        <v>36</v>
      </c>
      <c r="C1247" s="331">
        <v>305852069577</v>
      </c>
      <c r="D1247" s="331">
        <v>60314379496</v>
      </c>
      <c r="E1247" s="331">
        <v>1805440337</v>
      </c>
      <c r="F1247" s="331">
        <v>2576227</v>
      </c>
      <c r="G1247" s="370">
        <f t="shared" si="57"/>
        <v>8.4231144931043865E-6</v>
      </c>
      <c r="H1247" s="370">
        <f t="shared" si="58"/>
        <v>4.2713313500487115E-5</v>
      </c>
      <c r="I1247" s="331">
        <v>474866</v>
      </c>
      <c r="J1247" s="331">
        <v>0</v>
      </c>
      <c r="K1247" s="331">
        <f t="shared" si="59"/>
        <v>474866</v>
      </c>
      <c r="L1247" s="199">
        <v>2.99</v>
      </c>
      <c r="M1247" s="199">
        <v>1.29</v>
      </c>
    </row>
    <row r="1248" spans="1:13" ht="15" customHeight="1" x14ac:dyDescent="0.25">
      <c r="A1248" s="49">
        <v>2002</v>
      </c>
      <c r="B1248" s="330" t="s">
        <v>36</v>
      </c>
      <c r="C1248" s="331">
        <v>290568394481</v>
      </c>
      <c r="D1248" s="331">
        <v>57906280904</v>
      </c>
      <c r="E1248" s="331">
        <v>2059633871</v>
      </c>
      <c r="F1248" s="331">
        <v>3146517</v>
      </c>
      <c r="G1248" s="370">
        <f t="shared" si="57"/>
        <v>1.0828834311522989E-5</v>
      </c>
      <c r="H1248" s="370">
        <f t="shared" si="58"/>
        <v>5.433809512333312E-5</v>
      </c>
      <c r="I1248" s="331">
        <v>1279</v>
      </c>
      <c r="J1248" s="331">
        <v>197965</v>
      </c>
      <c r="K1248" s="331">
        <f t="shared" si="59"/>
        <v>-196686</v>
      </c>
      <c r="L1248" s="199">
        <v>3.56</v>
      </c>
      <c r="M1248" s="199">
        <v>1.29</v>
      </c>
    </row>
    <row r="1249" spans="1:13" ht="15" customHeight="1" x14ac:dyDescent="0.25">
      <c r="A1249" s="49">
        <v>2003</v>
      </c>
      <c r="B1249" s="330" t="s">
        <v>36</v>
      </c>
      <c r="C1249" s="331">
        <v>292838502169</v>
      </c>
      <c r="D1249" s="331">
        <v>57273795810</v>
      </c>
      <c r="E1249" s="331">
        <v>2414728574</v>
      </c>
      <c r="F1249" s="331">
        <v>2870752</v>
      </c>
      <c r="G1249" s="370">
        <f t="shared" si="57"/>
        <v>9.8031917891154245E-6</v>
      </c>
      <c r="H1249" s="370">
        <f t="shared" si="58"/>
        <v>5.0123306119319002E-5</v>
      </c>
      <c r="I1249" s="331">
        <v>6635</v>
      </c>
      <c r="J1249" s="331">
        <v>751395</v>
      </c>
      <c r="K1249" s="331">
        <f t="shared" si="59"/>
        <v>-744760</v>
      </c>
      <c r="L1249" s="199">
        <v>4.22</v>
      </c>
      <c r="M1249" s="199">
        <v>1.29</v>
      </c>
    </row>
    <row r="1250" spans="1:13" ht="15" customHeight="1" x14ac:dyDescent="0.25">
      <c r="A1250" s="49">
        <v>2004</v>
      </c>
      <c r="B1250" s="330" t="s">
        <v>36</v>
      </c>
      <c r="C1250" s="331">
        <v>312304019209</v>
      </c>
      <c r="D1250" s="331">
        <v>58165143773</v>
      </c>
      <c r="E1250" s="331">
        <v>2484190086</v>
      </c>
      <c r="F1250" s="331">
        <v>2373928</v>
      </c>
      <c r="G1250" s="370">
        <f t="shared" si="57"/>
        <v>7.6013366911276307E-6</v>
      </c>
      <c r="H1250" s="370">
        <f t="shared" si="58"/>
        <v>4.0813584322333727E-5</v>
      </c>
      <c r="I1250" s="331">
        <v>0</v>
      </c>
      <c r="J1250" s="331">
        <v>691332</v>
      </c>
      <c r="K1250" s="331">
        <f t="shared" si="59"/>
        <v>-691332</v>
      </c>
      <c r="L1250" s="199">
        <v>4.2699999999999996</v>
      </c>
      <c r="M1250" s="199">
        <v>1.29</v>
      </c>
    </row>
    <row r="1251" spans="1:13" ht="15" customHeight="1" x14ac:dyDescent="0.25">
      <c r="A1251" s="49">
        <v>2005</v>
      </c>
      <c r="B1251" s="330" t="s">
        <v>36</v>
      </c>
      <c r="C1251" s="331">
        <v>328993558230</v>
      </c>
      <c r="D1251" s="331">
        <v>59071328933</v>
      </c>
      <c r="E1251" s="331">
        <v>2449883363</v>
      </c>
      <c r="F1251" s="331">
        <v>2253483</v>
      </c>
      <c r="G1251" s="370">
        <f t="shared" si="57"/>
        <v>6.8496265158620095E-6</v>
      </c>
      <c r="H1251" s="370">
        <f t="shared" si="58"/>
        <v>3.8148506910280449E-5</v>
      </c>
      <c r="I1251" s="331">
        <v>0</v>
      </c>
      <c r="J1251" s="331">
        <v>357319</v>
      </c>
      <c r="K1251" s="331">
        <f t="shared" si="59"/>
        <v>-357319</v>
      </c>
      <c r="L1251" s="199">
        <v>4.1500000000000004</v>
      </c>
      <c r="M1251" s="199">
        <v>1.29</v>
      </c>
    </row>
    <row r="1252" spans="1:13" ht="15" customHeight="1" x14ac:dyDescent="0.25">
      <c r="A1252" s="49">
        <v>2006</v>
      </c>
      <c r="B1252" s="330" t="s">
        <v>36</v>
      </c>
      <c r="C1252" s="331">
        <v>358452346476</v>
      </c>
      <c r="D1252" s="331">
        <v>60543949868</v>
      </c>
      <c r="E1252" s="331">
        <v>2415914467</v>
      </c>
      <c r="F1252" s="331">
        <v>2086684</v>
      </c>
      <c r="G1252" s="370">
        <f t="shared" si="57"/>
        <v>5.8213707359276918E-6</v>
      </c>
      <c r="H1252" s="370">
        <f t="shared" si="58"/>
        <v>3.4465607291058149E-5</v>
      </c>
      <c r="I1252" s="331">
        <v>313162</v>
      </c>
      <c r="J1252" s="331">
        <v>0</v>
      </c>
      <c r="K1252" s="331">
        <f t="shared" si="59"/>
        <v>313162</v>
      </c>
      <c r="L1252" s="199">
        <v>3.99</v>
      </c>
      <c r="M1252" s="199">
        <v>1.29</v>
      </c>
    </row>
    <row r="1253" spans="1:13" ht="15" customHeight="1" x14ac:dyDescent="0.25">
      <c r="A1253" s="49">
        <v>2007</v>
      </c>
      <c r="B1253" s="330" t="s">
        <v>36</v>
      </c>
      <c r="C1253" s="331">
        <v>394280765472</v>
      </c>
      <c r="D1253" s="331">
        <v>62023534448</v>
      </c>
      <c r="E1253" s="331">
        <v>2158364073</v>
      </c>
      <c r="F1253" s="331">
        <v>2093803</v>
      </c>
      <c r="G1253" s="370">
        <f t="shared" si="57"/>
        <v>5.3104365806266859E-6</v>
      </c>
      <c r="H1253" s="370">
        <f t="shared" si="58"/>
        <v>3.3758201925035833E-5</v>
      </c>
      <c r="I1253" s="331">
        <v>429723</v>
      </c>
      <c r="J1253" s="331">
        <v>0</v>
      </c>
      <c r="K1253" s="331">
        <f t="shared" si="59"/>
        <v>429723</v>
      </c>
      <c r="L1253" s="199">
        <v>3.48</v>
      </c>
      <c r="M1253" s="199">
        <v>1.29</v>
      </c>
    </row>
    <row r="1254" spans="1:13" ht="15" customHeight="1" x14ac:dyDescent="0.25">
      <c r="A1254" s="49">
        <v>2008</v>
      </c>
      <c r="B1254" s="330" t="s">
        <v>36</v>
      </c>
      <c r="C1254" s="331">
        <v>399312762147</v>
      </c>
      <c r="D1254" s="331">
        <v>61760858526</v>
      </c>
      <c r="E1254" s="331">
        <v>2124923585</v>
      </c>
      <c r="F1254" s="331">
        <v>2528050</v>
      </c>
      <c r="G1254" s="370">
        <f t="shared" si="57"/>
        <v>6.3310022610029744E-6</v>
      </c>
      <c r="H1254" s="370">
        <f t="shared" si="58"/>
        <v>4.0932883064372318E-5</v>
      </c>
      <c r="I1254" s="331">
        <v>7084</v>
      </c>
      <c r="J1254" s="331">
        <v>0</v>
      </c>
      <c r="K1254" s="331">
        <f t="shared" si="59"/>
        <v>7084</v>
      </c>
      <c r="L1254" s="199">
        <v>3.4</v>
      </c>
      <c r="M1254" s="199">
        <v>1.29</v>
      </c>
    </row>
    <row r="1255" spans="1:13" ht="15" customHeight="1" x14ac:dyDescent="0.25">
      <c r="A1255" s="49">
        <v>2009</v>
      </c>
      <c r="B1255" s="330" t="s">
        <v>36</v>
      </c>
      <c r="C1255" s="331">
        <v>358180047570</v>
      </c>
      <c r="D1255" s="331">
        <v>58246553602</v>
      </c>
      <c r="E1255" s="331">
        <v>2178273386</v>
      </c>
      <c r="F1255" s="331">
        <v>4594152</v>
      </c>
      <c r="G1255" s="370">
        <f t="shared" si="57"/>
        <v>1.2826376095396976E-5</v>
      </c>
      <c r="H1255" s="370">
        <f t="shared" si="58"/>
        <v>7.8874228875272918E-5</v>
      </c>
      <c r="I1255" s="331">
        <v>41752</v>
      </c>
      <c r="J1255" s="331">
        <v>2160189</v>
      </c>
      <c r="K1255" s="331">
        <f t="shared" si="59"/>
        <v>-2118437</v>
      </c>
      <c r="L1255" s="199">
        <v>3.7</v>
      </c>
      <c r="M1255" s="199">
        <v>1.34</v>
      </c>
    </row>
    <row r="1256" spans="1:13" ht="15" customHeight="1" x14ac:dyDescent="0.25">
      <c r="A1256" s="49">
        <v>2010</v>
      </c>
      <c r="B1256" s="330" t="s">
        <v>36</v>
      </c>
      <c r="C1256" s="331">
        <v>376066995071</v>
      </c>
      <c r="D1256" s="331">
        <v>58884303037</v>
      </c>
      <c r="E1256" s="331">
        <v>2663516864</v>
      </c>
      <c r="F1256" s="331">
        <v>3534563</v>
      </c>
      <c r="G1256" s="370">
        <f t="shared" si="57"/>
        <v>9.3987588550085017E-6</v>
      </c>
      <c r="H1256" s="370">
        <f t="shared" si="58"/>
        <v>6.0025555499554005E-5</v>
      </c>
      <c r="I1256" s="331">
        <v>34713</v>
      </c>
      <c r="J1256" s="331">
        <v>3134427</v>
      </c>
      <c r="K1256" s="331">
        <f t="shared" si="59"/>
        <v>-3099714</v>
      </c>
      <c r="L1256" s="199">
        <v>4.5</v>
      </c>
      <c r="M1256" s="199">
        <v>1.34</v>
      </c>
    </row>
    <row r="1257" spans="1:13" ht="15" customHeight="1" x14ac:dyDescent="0.25">
      <c r="A1257" s="49">
        <v>2011</v>
      </c>
      <c r="B1257" s="330" t="s">
        <v>36</v>
      </c>
      <c r="C1257" s="331">
        <v>394534179134</v>
      </c>
      <c r="D1257" s="331">
        <v>60764428517</v>
      </c>
      <c r="E1257" s="331">
        <v>2808453903</v>
      </c>
      <c r="F1257" s="331">
        <v>3082645</v>
      </c>
      <c r="G1257" s="370">
        <f t="shared" si="57"/>
        <v>7.8133788225050265E-6</v>
      </c>
      <c r="H1257" s="370">
        <f t="shared" si="58"/>
        <v>5.0731078613494599E-5</v>
      </c>
      <c r="I1257" s="331">
        <v>29837</v>
      </c>
      <c r="J1257" s="331">
        <v>3436549</v>
      </c>
      <c r="K1257" s="331">
        <f t="shared" si="59"/>
        <v>-3406712</v>
      </c>
      <c r="L1257" s="199">
        <v>4.5999999999999996</v>
      </c>
      <c r="M1257" s="199">
        <v>1.34</v>
      </c>
    </row>
    <row r="1258" spans="1:13" ht="15" customHeight="1" x14ac:dyDescent="0.25">
      <c r="A1258" s="49">
        <v>2012</v>
      </c>
      <c r="B1258" s="330" t="s">
        <v>36</v>
      </c>
      <c r="C1258" s="331">
        <v>408083292252</v>
      </c>
      <c r="D1258" s="331">
        <v>62281655099</v>
      </c>
      <c r="E1258" s="331">
        <v>2854104526</v>
      </c>
      <c r="F1258" s="331">
        <v>3043106</v>
      </c>
      <c r="G1258" s="370">
        <f t="shared" si="57"/>
        <v>7.457070793579116E-6</v>
      </c>
      <c r="H1258" s="370">
        <f t="shared" si="58"/>
        <v>4.886039067463479E-5</v>
      </c>
      <c r="I1258" s="331">
        <v>27266</v>
      </c>
      <c r="J1258" s="331">
        <v>3461890</v>
      </c>
      <c r="K1258" s="331">
        <f t="shared" si="59"/>
        <v>-3434624</v>
      </c>
      <c r="L1258" s="199">
        <v>4.58</v>
      </c>
      <c r="M1258" s="199">
        <v>1.34</v>
      </c>
    </row>
    <row r="1259" spans="1:13" ht="15" customHeight="1" x14ac:dyDescent="0.25">
      <c r="A1259" s="49">
        <v>2013</v>
      </c>
      <c r="B1259" s="330" t="s">
        <v>36</v>
      </c>
      <c r="C1259" s="331">
        <v>416832792542</v>
      </c>
      <c r="D1259" s="331">
        <v>64141802481</v>
      </c>
      <c r="E1259" s="331">
        <v>2908409912</v>
      </c>
      <c r="F1259" s="331">
        <v>2807535</v>
      </c>
      <c r="G1259" s="370">
        <f t="shared" si="57"/>
        <v>6.735398582435458E-6</v>
      </c>
      <c r="H1259" s="370">
        <f t="shared" si="58"/>
        <v>4.377075310335478E-5</v>
      </c>
      <c r="I1259" s="331">
        <v>18575</v>
      </c>
      <c r="J1259" s="331">
        <v>3072430</v>
      </c>
      <c r="K1259" s="331">
        <f t="shared" si="59"/>
        <v>-3053855</v>
      </c>
      <c r="L1259" s="199">
        <v>4.53</v>
      </c>
      <c r="M1259" s="199">
        <v>1.34</v>
      </c>
    </row>
    <row r="1260" spans="1:13" ht="15" customHeight="1" x14ac:dyDescent="0.25">
      <c r="A1260" s="49">
        <v>2014</v>
      </c>
      <c r="B1260" s="330" t="s">
        <v>36</v>
      </c>
      <c r="C1260" s="331">
        <v>447050179176</v>
      </c>
      <c r="D1260" s="331">
        <v>77440657277</v>
      </c>
      <c r="E1260" s="331">
        <v>3477278122</v>
      </c>
      <c r="F1260" s="331">
        <v>2356334</v>
      </c>
      <c r="G1260" s="370">
        <f t="shared" si="57"/>
        <v>5.2708490226828218E-6</v>
      </c>
      <c r="H1260" s="370">
        <f t="shared" si="58"/>
        <v>3.0427608479245629E-5</v>
      </c>
      <c r="I1260" s="331">
        <v>1960</v>
      </c>
      <c r="J1260" s="331">
        <v>1528955</v>
      </c>
      <c r="K1260" s="331">
        <f t="shared" si="59"/>
        <v>-1526995</v>
      </c>
      <c r="L1260" s="333">
        <v>4.4902487198191139</v>
      </c>
      <c r="M1260" s="199">
        <v>1.34</v>
      </c>
    </row>
    <row r="1261" spans="1:13" x14ac:dyDescent="0.25">
      <c r="A1261" s="49">
        <v>2015</v>
      </c>
      <c r="B1261" s="330" t="s">
        <v>36</v>
      </c>
      <c r="C1261" s="334">
        <v>467519325000</v>
      </c>
      <c r="D1261" s="334">
        <v>81227922000</v>
      </c>
      <c r="E1261" s="334">
        <v>3349177000</v>
      </c>
      <c r="F1261" s="331">
        <v>2156163</v>
      </c>
      <c r="G1261" s="370">
        <f t="shared" si="57"/>
        <v>4.6119227264028068E-6</v>
      </c>
      <c r="H1261" s="370">
        <f t="shared" si="58"/>
        <v>2.6544603713979042E-5</v>
      </c>
      <c r="I1261" s="331">
        <v>288063</v>
      </c>
      <c r="J1261" s="199">
        <v>0</v>
      </c>
      <c r="K1261" s="331">
        <f t="shared" si="59"/>
        <v>288063</v>
      </c>
      <c r="L1261" s="199">
        <v>4.0999999999999996</v>
      </c>
      <c r="M1261" s="199">
        <v>1.34</v>
      </c>
    </row>
    <row r="1262" spans="1:13" ht="15" customHeight="1" x14ac:dyDescent="0.25">
      <c r="A1262" s="49">
        <v>1980</v>
      </c>
      <c r="B1262" s="330" t="s">
        <v>37</v>
      </c>
      <c r="C1262" s="331">
        <v>51836113202</v>
      </c>
      <c r="D1262" s="331">
        <v>20762163866</v>
      </c>
      <c r="E1262" s="331">
        <v>458584827</v>
      </c>
      <c r="F1262" s="331">
        <v>1084655</v>
      </c>
      <c r="G1262" s="370">
        <f t="shared" si="57"/>
        <v>2.0924697725178796E-5</v>
      </c>
      <c r="H1262" s="370">
        <f t="shared" si="58"/>
        <v>5.2241905371733662E-5</v>
      </c>
      <c r="I1262" s="331">
        <v>70360</v>
      </c>
      <c r="J1262" s="331">
        <v>245778</v>
      </c>
      <c r="K1262" s="331">
        <f t="shared" si="59"/>
        <v>-175418</v>
      </c>
      <c r="L1262" s="199">
        <v>2.21</v>
      </c>
      <c r="M1262" s="199">
        <v>2.13</v>
      </c>
    </row>
    <row r="1263" spans="1:13" ht="15" customHeight="1" x14ac:dyDescent="0.25">
      <c r="A1263" s="49">
        <v>1981</v>
      </c>
      <c r="B1263" s="330" t="s">
        <v>37</v>
      </c>
      <c r="C1263" s="331">
        <v>55346195165</v>
      </c>
      <c r="D1263" s="331">
        <v>20612913649</v>
      </c>
      <c r="E1263" s="331">
        <v>556233391</v>
      </c>
      <c r="F1263" s="331">
        <v>867601</v>
      </c>
      <c r="G1263" s="370">
        <f t="shared" si="57"/>
        <v>1.5675892397182458E-5</v>
      </c>
      <c r="H1263" s="370">
        <f t="shared" si="58"/>
        <v>4.2090168074909207E-5</v>
      </c>
      <c r="I1263" s="331">
        <v>41697</v>
      </c>
      <c r="J1263" s="331">
        <v>599933</v>
      </c>
      <c r="K1263" s="331">
        <f t="shared" si="59"/>
        <v>-558236</v>
      </c>
      <c r="L1263" s="199">
        <v>2.7</v>
      </c>
      <c r="M1263" s="199">
        <v>1.99</v>
      </c>
    </row>
    <row r="1264" spans="1:13" ht="15" customHeight="1" x14ac:dyDescent="0.25">
      <c r="A1264" s="49">
        <v>1982</v>
      </c>
      <c r="B1264" s="330" t="s">
        <v>37</v>
      </c>
      <c r="C1264" s="331">
        <v>54604302954</v>
      </c>
      <c r="D1264" s="331">
        <v>19613638161</v>
      </c>
      <c r="E1264" s="331">
        <v>555246556</v>
      </c>
      <c r="F1264" s="331">
        <v>1495839</v>
      </c>
      <c r="G1264" s="370">
        <f t="shared" si="57"/>
        <v>2.7394159783710293E-5</v>
      </c>
      <c r="H1264" s="370">
        <f t="shared" si="58"/>
        <v>7.6265249094599117E-5</v>
      </c>
      <c r="I1264" s="331">
        <v>0</v>
      </c>
      <c r="J1264" s="331">
        <v>1658127</v>
      </c>
      <c r="K1264" s="331">
        <f t="shared" si="59"/>
        <v>-1658127</v>
      </c>
      <c r="L1264" s="199">
        <v>2.83</v>
      </c>
      <c r="M1264" s="199">
        <v>2.46</v>
      </c>
    </row>
    <row r="1265" spans="1:13" ht="15" customHeight="1" x14ac:dyDescent="0.25">
      <c r="A1265" s="49">
        <v>1983</v>
      </c>
      <c r="B1265" s="330" t="s">
        <v>37</v>
      </c>
      <c r="C1265" s="331">
        <v>56587217051</v>
      </c>
      <c r="D1265" s="331">
        <v>21901341697</v>
      </c>
      <c r="E1265" s="331">
        <v>765281433</v>
      </c>
      <c r="F1265" s="331">
        <v>989502</v>
      </c>
      <c r="G1265" s="370">
        <f t="shared" si="57"/>
        <v>1.7486316726058427E-5</v>
      </c>
      <c r="H1265" s="370">
        <f t="shared" si="58"/>
        <v>4.5179971788465361E-5</v>
      </c>
      <c r="I1265" s="331">
        <v>0</v>
      </c>
      <c r="J1265" s="331">
        <v>1976065</v>
      </c>
      <c r="K1265" s="331">
        <f t="shared" si="59"/>
        <v>-1976065</v>
      </c>
      <c r="L1265" s="199">
        <v>3.49</v>
      </c>
      <c r="M1265" s="199">
        <v>2.46</v>
      </c>
    </row>
    <row r="1266" spans="1:13" ht="15" customHeight="1" x14ac:dyDescent="0.25">
      <c r="A1266" s="49">
        <v>1984</v>
      </c>
      <c r="B1266" s="330" t="s">
        <v>37</v>
      </c>
      <c r="C1266" s="331">
        <v>62657100378</v>
      </c>
      <c r="D1266" s="331">
        <v>25648105442</v>
      </c>
      <c r="E1266" s="331">
        <v>1077807712</v>
      </c>
      <c r="F1266" s="331">
        <v>639334</v>
      </c>
      <c r="G1266" s="370">
        <f t="shared" si="57"/>
        <v>1.0203695928202917E-5</v>
      </c>
      <c r="H1266" s="370">
        <f t="shared" si="58"/>
        <v>2.4927143310673543E-5</v>
      </c>
      <c r="I1266" s="331">
        <v>0</v>
      </c>
      <c r="J1266" s="331">
        <v>1446205</v>
      </c>
      <c r="K1266" s="331">
        <f t="shared" si="59"/>
        <v>-1446205</v>
      </c>
      <c r="L1266" s="199">
        <v>4.2</v>
      </c>
      <c r="M1266" s="199">
        <v>2.46</v>
      </c>
    </row>
    <row r="1267" spans="1:13" ht="15" customHeight="1" x14ac:dyDescent="0.25">
      <c r="A1267" s="49">
        <v>1985</v>
      </c>
      <c r="B1267" s="330" t="s">
        <v>37</v>
      </c>
      <c r="C1267" s="331">
        <v>66681854017</v>
      </c>
      <c r="D1267" s="331">
        <v>26509561050</v>
      </c>
      <c r="E1267" s="331">
        <v>1036167020</v>
      </c>
      <c r="F1267" s="331">
        <v>722560</v>
      </c>
      <c r="G1267" s="370">
        <f t="shared" si="57"/>
        <v>1.0835931463690095E-5</v>
      </c>
      <c r="H1267" s="370">
        <f t="shared" si="58"/>
        <v>2.7256581074170596E-5</v>
      </c>
      <c r="I1267" s="331">
        <v>0</v>
      </c>
      <c r="J1267" s="331">
        <v>976439</v>
      </c>
      <c r="K1267" s="331">
        <f t="shared" si="59"/>
        <v>-976439</v>
      </c>
      <c r="L1267" s="199">
        <v>3.91</v>
      </c>
      <c r="M1267" s="199">
        <v>2.46</v>
      </c>
    </row>
    <row r="1268" spans="1:13" ht="15" customHeight="1" x14ac:dyDescent="0.25">
      <c r="A1268" s="49">
        <v>1986</v>
      </c>
      <c r="B1268" s="330" t="s">
        <v>37</v>
      </c>
      <c r="C1268" s="331">
        <v>69670855176</v>
      </c>
      <c r="D1268" s="331">
        <v>27179071985</v>
      </c>
      <c r="E1268" s="331">
        <v>980463747</v>
      </c>
      <c r="F1268" s="331">
        <v>712401</v>
      </c>
      <c r="G1268" s="370">
        <f t="shared" si="57"/>
        <v>1.0225236911479818E-5</v>
      </c>
      <c r="H1268" s="370">
        <f t="shared" si="58"/>
        <v>2.6211380594347396E-5</v>
      </c>
      <c r="I1268" s="331">
        <v>0</v>
      </c>
      <c r="J1268" s="331">
        <v>522747</v>
      </c>
      <c r="K1268" s="331">
        <f t="shared" si="59"/>
        <v>-522747</v>
      </c>
      <c r="L1268" s="199">
        <v>3.61</v>
      </c>
      <c r="M1268" s="199">
        <v>2.46</v>
      </c>
    </row>
    <row r="1269" spans="1:13" ht="15" customHeight="1" x14ac:dyDescent="0.25">
      <c r="A1269" s="49">
        <v>1987</v>
      </c>
      <c r="B1269" s="330" t="s">
        <v>37</v>
      </c>
      <c r="C1269" s="331">
        <v>73754459896</v>
      </c>
      <c r="D1269" s="331">
        <v>28044445706</v>
      </c>
      <c r="E1269" s="331">
        <v>971802289</v>
      </c>
      <c r="F1269" s="331">
        <v>624436</v>
      </c>
      <c r="G1269" s="370">
        <f t="shared" si="57"/>
        <v>8.4664168225285276E-6</v>
      </c>
      <c r="H1269" s="370">
        <f t="shared" si="58"/>
        <v>2.226594194608754E-5</v>
      </c>
      <c r="I1269" s="331">
        <v>213637</v>
      </c>
      <c r="J1269" s="331">
        <v>0</v>
      </c>
      <c r="K1269" s="331">
        <f t="shared" si="59"/>
        <v>213637</v>
      </c>
      <c r="L1269" s="199">
        <v>3.47</v>
      </c>
      <c r="M1269" s="199">
        <v>2.46</v>
      </c>
    </row>
    <row r="1270" spans="1:13" ht="15" customHeight="1" x14ac:dyDescent="0.25">
      <c r="A1270" s="49">
        <v>1988</v>
      </c>
      <c r="B1270" s="330" t="s">
        <v>37</v>
      </c>
      <c r="C1270" s="331">
        <v>79235103586</v>
      </c>
      <c r="D1270" s="331">
        <v>29043780826</v>
      </c>
      <c r="E1270" s="331">
        <v>861059790</v>
      </c>
      <c r="F1270" s="331">
        <v>555434</v>
      </c>
      <c r="G1270" s="370">
        <f t="shared" si="57"/>
        <v>7.0099485564140703E-6</v>
      </c>
      <c r="H1270" s="370">
        <f t="shared" si="58"/>
        <v>1.9124025323272489E-5</v>
      </c>
      <c r="I1270" s="331">
        <v>443891</v>
      </c>
      <c r="J1270" s="331">
        <v>0</v>
      </c>
      <c r="K1270" s="331">
        <f t="shared" si="59"/>
        <v>443891</v>
      </c>
      <c r="L1270" s="199">
        <v>2.96</v>
      </c>
      <c r="M1270" s="199">
        <v>2.46</v>
      </c>
    </row>
    <row r="1271" spans="1:13" ht="15" customHeight="1" x14ac:dyDescent="0.25">
      <c r="A1271" s="49">
        <v>1989</v>
      </c>
      <c r="B1271" s="330" t="s">
        <v>37</v>
      </c>
      <c r="C1271" s="331">
        <v>82920501190</v>
      </c>
      <c r="D1271" s="331">
        <v>30000093658</v>
      </c>
      <c r="E1271" s="331">
        <v>813082831</v>
      </c>
      <c r="F1271" s="331">
        <v>511368</v>
      </c>
      <c r="G1271" s="370">
        <f t="shared" si="57"/>
        <v>6.166967066784561E-6</v>
      </c>
      <c r="H1271" s="370">
        <f t="shared" si="58"/>
        <v>1.7045546784939307E-5</v>
      </c>
      <c r="I1271" s="331">
        <v>778471</v>
      </c>
      <c r="J1271" s="331">
        <v>0</v>
      </c>
      <c r="K1271" s="331">
        <f t="shared" si="59"/>
        <v>778471</v>
      </c>
      <c r="L1271" s="199">
        <v>2.71</v>
      </c>
      <c r="M1271" s="199">
        <v>2.46</v>
      </c>
    </row>
    <row r="1272" spans="1:13" ht="15" customHeight="1" x14ac:dyDescent="0.25">
      <c r="A1272" s="49">
        <v>1990</v>
      </c>
      <c r="B1272" s="330" t="s">
        <v>37</v>
      </c>
      <c r="C1272" s="331">
        <v>86770069914</v>
      </c>
      <c r="D1272" s="331">
        <v>30490892857</v>
      </c>
      <c r="E1272" s="331">
        <v>742677151</v>
      </c>
      <c r="F1272" s="331">
        <v>703353</v>
      </c>
      <c r="G1272" s="370">
        <f t="shared" si="57"/>
        <v>8.1059402245164817E-6</v>
      </c>
      <c r="H1272" s="370">
        <f t="shared" si="58"/>
        <v>2.3067641977513509E-5</v>
      </c>
      <c r="I1272" s="331">
        <v>886582</v>
      </c>
      <c r="J1272" s="331">
        <v>0</v>
      </c>
      <c r="K1272" s="331">
        <f t="shared" si="59"/>
        <v>886582</v>
      </c>
      <c r="L1272" s="199">
        <v>2.44</v>
      </c>
      <c r="M1272" s="199">
        <v>2.46</v>
      </c>
    </row>
    <row r="1273" spans="1:13" ht="15" customHeight="1" x14ac:dyDescent="0.25">
      <c r="A1273" s="49">
        <v>1991</v>
      </c>
      <c r="B1273" s="330" t="s">
        <v>37</v>
      </c>
      <c r="C1273" s="331">
        <v>87532883476</v>
      </c>
      <c r="D1273" s="331">
        <v>30620798541</v>
      </c>
      <c r="E1273" s="331">
        <v>719505770</v>
      </c>
      <c r="F1273" s="331">
        <v>1011479</v>
      </c>
      <c r="G1273" s="370">
        <f t="shared" si="57"/>
        <v>1.1555417345269221E-5</v>
      </c>
      <c r="H1273" s="370">
        <f t="shared" si="58"/>
        <v>3.3032417448084216E-5</v>
      </c>
      <c r="I1273" s="331">
        <v>647410</v>
      </c>
      <c r="J1273" s="331">
        <v>0</v>
      </c>
      <c r="K1273" s="331">
        <f t="shared" si="59"/>
        <v>647410</v>
      </c>
      <c r="L1273" s="199">
        <v>2.35</v>
      </c>
      <c r="M1273" s="199">
        <v>2.46</v>
      </c>
    </row>
    <row r="1274" spans="1:13" ht="15" customHeight="1" x14ac:dyDescent="0.25">
      <c r="A1274" s="49">
        <v>1992</v>
      </c>
      <c r="B1274" s="330" t="s">
        <v>37</v>
      </c>
      <c r="C1274" s="331">
        <v>92607212717</v>
      </c>
      <c r="D1274" s="331">
        <v>31261389067</v>
      </c>
      <c r="E1274" s="331">
        <v>876051434</v>
      </c>
      <c r="F1274" s="331">
        <v>936647</v>
      </c>
      <c r="G1274" s="370">
        <f t="shared" si="57"/>
        <v>1.01141905961722E-5</v>
      </c>
      <c r="H1274" s="370">
        <f t="shared" si="58"/>
        <v>2.9961784423352411E-5</v>
      </c>
      <c r="I1274" s="331">
        <v>602464</v>
      </c>
      <c r="J1274" s="331">
        <v>0</v>
      </c>
      <c r="K1274" s="331">
        <f t="shared" si="59"/>
        <v>602464</v>
      </c>
      <c r="L1274" s="199">
        <v>2.8</v>
      </c>
      <c r="M1274" s="199">
        <v>2.46</v>
      </c>
    </row>
    <row r="1275" spans="1:13" ht="15" customHeight="1" x14ac:dyDescent="0.25">
      <c r="A1275" s="49">
        <v>1993</v>
      </c>
      <c r="B1275" s="330" t="s">
        <v>37</v>
      </c>
      <c r="C1275" s="331">
        <v>96147424876</v>
      </c>
      <c r="D1275" s="331">
        <v>32695211935</v>
      </c>
      <c r="E1275" s="331">
        <v>922763179</v>
      </c>
      <c r="F1275" s="331">
        <v>710403</v>
      </c>
      <c r="G1275" s="370">
        <f t="shared" si="57"/>
        <v>7.3886846258877648E-6</v>
      </c>
      <c r="H1275" s="370">
        <f t="shared" si="58"/>
        <v>2.1728043892552918E-5</v>
      </c>
      <c r="I1275" s="331">
        <v>845054</v>
      </c>
      <c r="J1275" s="331">
        <v>0</v>
      </c>
      <c r="K1275" s="331">
        <f t="shared" si="59"/>
        <v>845054</v>
      </c>
      <c r="L1275" s="199">
        <v>2.82</v>
      </c>
      <c r="M1275" s="199">
        <v>2.46</v>
      </c>
    </row>
    <row r="1276" spans="1:13" ht="15" customHeight="1" x14ac:dyDescent="0.25">
      <c r="A1276" s="49">
        <v>1994</v>
      </c>
      <c r="B1276" s="330" t="s">
        <v>37</v>
      </c>
      <c r="C1276" s="331">
        <v>102997131381</v>
      </c>
      <c r="D1276" s="331">
        <v>35219879507</v>
      </c>
      <c r="E1276" s="331">
        <v>975217490</v>
      </c>
      <c r="F1276" s="331">
        <v>690031</v>
      </c>
      <c r="G1276" s="370">
        <f t="shared" si="57"/>
        <v>6.6995166831150292E-6</v>
      </c>
      <c r="H1276" s="370">
        <f t="shared" si="58"/>
        <v>1.959208860617639E-5</v>
      </c>
      <c r="I1276" s="331">
        <v>1166837</v>
      </c>
      <c r="J1276" s="331">
        <v>0</v>
      </c>
      <c r="K1276" s="331">
        <f t="shared" si="59"/>
        <v>1166837</v>
      </c>
      <c r="L1276" s="199">
        <v>2.77</v>
      </c>
      <c r="M1276" s="199">
        <v>2.46</v>
      </c>
    </row>
    <row r="1277" spans="1:13" ht="15" customHeight="1" x14ac:dyDescent="0.25">
      <c r="A1277" s="49">
        <v>1995</v>
      </c>
      <c r="B1277" s="330" t="s">
        <v>37</v>
      </c>
      <c r="C1277" s="331">
        <v>109441234595</v>
      </c>
      <c r="D1277" s="331">
        <v>37256403470</v>
      </c>
      <c r="E1277" s="331">
        <v>991216268</v>
      </c>
      <c r="F1277" s="331">
        <v>647673</v>
      </c>
      <c r="G1277" s="370">
        <f t="shared" si="57"/>
        <v>5.9179979319201685E-6</v>
      </c>
      <c r="H1277" s="370">
        <f t="shared" si="58"/>
        <v>1.7384206194823024E-5</v>
      </c>
      <c r="I1277" s="331">
        <v>1600533</v>
      </c>
      <c r="J1277" s="331">
        <v>0</v>
      </c>
      <c r="K1277" s="331">
        <f t="shared" si="59"/>
        <v>1600533</v>
      </c>
      <c r="L1277" s="199">
        <v>2.66</v>
      </c>
      <c r="M1277" s="199">
        <v>2.4300000000000002</v>
      </c>
    </row>
    <row r="1278" spans="1:13" ht="15" customHeight="1" x14ac:dyDescent="0.25">
      <c r="A1278" s="49">
        <v>1996</v>
      </c>
      <c r="B1278" s="330" t="s">
        <v>37</v>
      </c>
      <c r="C1278" s="331">
        <v>115203894325</v>
      </c>
      <c r="D1278" s="331">
        <v>38450778354</v>
      </c>
      <c r="E1278" s="331">
        <v>871798715</v>
      </c>
      <c r="F1278" s="331">
        <v>699761</v>
      </c>
      <c r="G1278" s="370">
        <f t="shared" si="57"/>
        <v>6.0741089014396906E-6</v>
      </c>
      <c r="H1278" s="370">
        <f t="shared" si="58"/>
        <v>1.8198877368816763E-5</v>
      </c>
      <c r="I1278" s="331">
        <v>1750968</v>
      </c>
      <c r="J1278" s="331">
        <v>0</v>
      </c>
      <c r="K1278" s="331">
        <f t="shared" si="59"/>
        <v>1750968</v>
      </c>
      <c r="L1278" s="199">
        <v>2.27</v>
      </c>
      <c r="M1278" s="199">
        <v>2.4300000000000002</v>
      </c>
    </row>
    <row r="1279" spans="1:13" ht="15" customHeight="1" x14ac:dyDescent="0.25">
      <c r="A1279" s="49">
        <v>1997</v>
      </c>
      <c r="B1279" s="330" t="s">
        <v>37</v>
      </c>
      <c r="C1279" s="331">
        <v>123183522621</v>
      </c>
      <c r="D1279" s="331">
        <v>39954384615</v>
      </c>
      <c r="E1279" s="331">
        <v>670231139</v>
      </c>
      <c r="F1279" s="331">
        <v>662961</v>
      </c>
      <c r="G1279" s="370">
        <f t="shared" si="57"/>
        <v>5.3818967496143039E-6</v>
      </c>
      <c r="H1279" s="370">
        <f t="shared" si="58"/>
        <v>1.6592947342032287E-5</v>
      </c>
      <c r="I1279" s="331">
        <v>1874943</v>
      </c>
      <c r="J1279" s="331">
        <v>0</v>
      </c>
      <c r="K1279" s="331">
        <f t="shared" si="59"/>
        <v>1874943</v>
      </c>
      <c r="L1279" s="199">
        <v>1.68</v>
      </c>
      <c r="M1279" s="199">
        <v>2.4300000000000002</v>
      </c>
    </row>
    <row r="1280" spans="1:13" ht="15" customHeight="1" x14ac:dyDescent="0.25">
      <c r="A1280" s="49">
        <v>1998</v>
      </c>
      <c r="B1280" s="330" t="s">
        <v>37</v>
      </c>
      <c r="C1280" s="331">
        <v>131572432891</v>
      </c>
      <c r="D1280" s="331">
        <v>41292522502</v>
      </c>
      <c r="E1280" s="331">
        <v>675466455</v>
      </c>
      <c r="F1280" s="331">
        <v>656908</v>
      </c>
      <c r="G1280" s="370">
        <f t="shared" si="57"/>
        <v>4.9927479910948327E-6</v>
      </c>
      <c r="H1280" s="370">
        <f t="shared" si="58"/>
        <v>1.5908643022914928E-5</v>
      </c>
      <c r="I1280" s="331">
        <v>2027626</v>
      </c>
      <c r="J1280" s="331">
        <v>0</v>
      </c>
      <c r="K1280" s="331">
        <f t="shared" si="59"/>
        <v>2027626</v>
      </c>
      <c r="L1280" s="199">
        <v>1.64</v>
      </c>
      <c r="M1280" s="199">
        <v>2.4300000000000002</v>
      </c>
    </row>
    <row r="1281" spans="1:13" ht="15" customHeight="1" x14ac:dyDescent="0.25">
      <c r="A1281" s="49">
        <v>1999</v>
      </c>
      <c r="B1281" s="330" t="s">
        <v>37</v>
      </c>
      <c r="C1281" s="331">
        <v>138146793516</v>
      </c>
      <c r="D1281" s="331">
        <v>42546759517</v>
      </c>
      <c r="E1281" s="331">
        <v>649704614</v>
      </c>
      <c r="F1281" s="331">
        <v>664928</v>
      </c>
      <c r="G1281" s="370">
        <f t="shared" si="57"/>
        <v>4.8131989391631364E-6</v>
      </c>
      <c r="H1281" s="370">
        <f t="shared" si="58"/>
        <v>1.5628170219034452E-5</v>
      </c>
      <c r="I1281" s="331">
        <v>2151863</v>
      </c>
      <c r="J1281" s="331">
        <v>0</v>
      </c>
      <c r="K1281" s="331">
        <f t="shared" si="59"/>
        <v>2151863</v>
      </c>
      <c r="L1281" s="199">
        <v>1.53</v>
      </c>
      <c r="M1281" s="199">
        <v>2.4300000000000002</v>
      </c>
    </row>
    <row r="1282" spans="1:13" ht="15" customHeight="1" x14ac:dyDescent="0.25">
      <c r="A1282" s="49">
        <v>2000</v>
      </c>
      <c r="B1282" s="330" t="s">
        <v>37</v>
      </c>
      <c r="C1282" s="331">
        <v>143866924632</v>
      </c>
      <c r="D1282" s="331">
        <v>43455349675</v>
      </c>
      <c r="E1282" s="331">
        <v>640006405</v>
      </c>
      <c r="F1282" s="331">
        <v>719372</v>
      </c>
      <c r="G1282" s="370">
        <f t="shared" ref="G1282:G1345" si="60">F1282/C1282</f>
        <v>5.0002598014804002E-6</v>
      </c>
      <c r="H1282" s="370">
        <f t="shared" ref="H1282:H1345" si="61">F1282/D1282</f>
        <v>1.6554279401273738E-5</v>
      </c>
      <c r="I1282" s="331">
        <v>2235972</v>
      </c>
      <c r="J1282" s="331">
        <v>0</v>
      </c>
      <c r="K1282" s="331">
        <f t="shared" ref="K1282:K1345" si="62">I1282-J1282</f>
        <v>2235972</v>
      </c>
      <c r="L1282" s="199">
        <v>1.47</v>
      </c>
      <c r="M1282" s="199">
        <v>2.4300000000000002</v>
      </c>
    </row>
    <row r="1283" spans="1:13" ht="15" customHeight="1" x14ac:dyDescent="0.25">
      <c r="A1283" s="49">
        <v>2001</v>
      </c>
      <c r="B1283" s="330" t="s">
        <v>37</v>
      </c>
      <c r="C1283" s="331">
        <v>143355807182</v>
      </c>
      <c r="D1283" s="331">
        <v>41933913575</v>
      </c>
      <c r="E1283" s="331">
        <v>595744933</v>
      </c>
      <c r="F1283" s="331">
        <v>1213018</v>
      </c>
      <c r="G1283" s="370">
        <f t="shared" si="60"/>
        <v>8.4615895501184042E-6</v>
      </c>
      <c r="H1283" s="370">
        <f t="shared" si="61"/>
        <v>2.8926897028832826E-5</v>
      </c>
      <c r="I1283" s="331">
        <v>1904017</v>
      </c>
      <c r="J1283" s="331">
        <v>0</v>
      </c>
      <c r="K1283" s="331">
        <f t="shared" si="62"/>
        <v>1904017</v>
      </c>
      <c r="L1283" s="199">
        <v>1.42</v>
      </c>
      <c r="M1283" s="199">
        <v>2.23</v>
      </c>
    </row>
    <row r="1284" spans="1:13" ht="15" customHeight="1" x14ac:dyDescent="0.25">
      <c r="A1284" s="49">
        <v>2002</v>
      </c>
      <c r="B1284" s="330" t="s">
        <v>37</v>
      </c>
      <c r="C1284" s="331">
        <v>142753711496</v>
      </c>
      <c r="D1284" s="331">
        <v>40834380071</v>
      </c>
      <c r="E1284" s="331">
        <v>656702884</v>
      </c>
      <c r="F1284" s="331">
        <v>1443058</v>
      </c>
      <c r="G1284" s="370">
        <f t="shared" si="60"/>
        <v>1.0108724914241091E-5</v>
      </c>
      <c r="H1284" s="370">
        <f t="shared" si="61"/>
        <v>3.5339290017159812E-5</v>
      </c>
      <c r="I1284" s="331">
        <v>1537038</v>
      </c>
      <c r="J1284" s="331">
        <v>0</v>
      </c>
      <c r="K1284" s="331">
        <f t="shared" si="62"/>
        <v>1537038</v>
      </c>
      <c r="L1284" s="199">
        <v>1.6</v>
      </c>
      <c r="M1284" s="199">
        <v>2.23</v>
      </c>
    </row>
    <row r="1285" spans="1:13" ht="15" customHeight="1" x14ac:dyDescent="0.25">
      <c r="A1285" s="49">
        <v>2003</v>
      </c>
      <c r="B1285" s="330" t="s">
        <v>37</v>
      </c>
      <c r="C1285" s="331">
        <v>144170517902</v>
      </c>
      <c r="D1285" s="331">
        <v>40188000776</v>
      </c>
      <c r="E1285" s="331">
        <v>704926270</v>
      </c>
      <c r="F1285" s="331">
        <v>1400673</v>
      </c>
      <c r="G1285" s="370">
        <f t="shared" si="60"/>
        <v>9.7153913323118425E-6</v>
      </c>
      <c r="H1285" s="370">
        <f t="shared" si="61"/>
        <v>3.4853015152634125E-5</v>
      </c>
      <c r="I1285" s="331">
        <v>882554</v>
      </c>
      <c r="J1285" s="331">
        <v>0</v>
      </c>
      <c r="K1285" s="331">
        <f t="shared" si="62"/>
        <v>882554</v>
      </c>
      <c r="L1285" s="199">
        <v>1.75</v>
      </c>
      <c r="M1285" s="199">
        <v>2.23</v>
      </c>
    </row>
    <row r="1286" spans="1:13" ht="15" customHeight="1" x14ac:dyDescent="0.25">
      <c r="A1286" s="49">
        <v>2004</v>
      </c>
      <c r="B1286" s="330" t="s">
        <v>37</v>
      </c>
      <c r="C1286" s="331">
        <v>149665695527</v>
      </c>
      <c r="D1286" s="331">
        <v>40583959700</v>
      </c>
      <c r="E1286" s="331">
        <v>889043492</v>
      </c>
      <c r="F1286" s="331">
        <v>1171046</v>
      </c>
      <c r="G1286" s="370">
        <f t="shared" si="60"/>
        <v>7.8244115719138924E-6</v>
      </c>
      <c r="H1286" s="370">
        <f t="shared" si="61"/>
        <v>2.8854897566833529E-5</v>
      </c>
      <c r="I1286" s="331">
        <v>643538</v>
      </c>
      <c r="J1286" s="331">
        <v>0</v>
      </c>
      <c r="K1286" s="331">
        <f t="shared" si="62"/>
        <v>643538</v>
      </c>
      <c r="L1286" s="199">
        <v>2.19</v>
      </c>
      <c r="M1286" s="199">
        <v>2.23</v>
      </c>
    </row>
    <row r="1287" spans="1:13" ht="15" customHeight="1" x14ac:dyDescent="0.25">
      <c r="A1287" s="49">
        <v>2005</v>
      </c>
      <c r="B1287" s="330" t="s">
        <v>37</v>
      </c>
      <c r="C1287" s="331">
        <v>153872441637</v>
      </c>
      <c r="D1287" s="331">
        <v>40914643719</v>
      </c>
      <c r="E1287" s="331">
        <v>945514055</v>
      </c>
      <c r="F1287" s="331">
        <v>1063140</v>
      </c>
      <c r="G1287" s="370">
        <f t="shared" si="60"/>
        <v>6.9092294155444045E-6</v>
      </c>
      <c r="H1287" s="370">
        <f t="shared" si="61"/>
        <v>2.5984339673139998E-5</v>
      </c>
      <c r="I1287" s="331">
        <v>518985</v>
      </c>
      <c r="J1287" s="331">
        <v>0</v>
      </c>
      <c r="K1287" s="331">
        <f t="shared" si="62"/>
        <v>518985</v>
      </c>
      <c r="L1287" s="199">
        <v>2.31</v>
      </c>
      <c r="M1287" s="199">
        <v>2.23</v>
      </c>
    </row>
    <row r="1288" spans="1:13" ht="15" customHeight="1" x14ac:dyDescent="0.25">
      <c r="A1288" s="49">
        <v>2006</v>
      </c>
      <c r="B1288" s="330" t="s">
        <v>37</v>
      </c>
      <c r="C1288" s="331">
        <v>159157625871</v>
      </c>
      <c r="D1288" s="331">
        <v>41420356442</v>
      </c>
      <c r="E1288" s="331">
        <v>1088342604</v>
      </c>
      <c r="F1288" s="331">
        <v>1049618</v>
      </c>
      <c r="G1288" s="370">
        <f t="shared" si="60"/>
        <v>6.5948332306158772E-6</v>
      </c>
      <c r="H1288" s="370">
        <f t="shared" si="61"/>
        <v>2.5340631760853065E-5</v>
      </c>
      <c r="I1288" s="331">
        <v>499580</v>
      </c>
      <c r="J1288" s="331">
        <v>0</v>
      </c>
      <c r="K1288" s="331">
        <f t="shared" si="62"/>
        <v>499580</v>
      </c>
      <c r="L1288" s="199">
        <v>2.63</v>
      </c>
      <c r="M1288" s="199">
        <v>2.23</v>
      </c>
    </row>
    <row r="1289" spans="1:13" ht="15" customHeight="1" x14ac:dyDescent="0.25">
      <c r="A1289" s="49">
        <v>2007</v>
      </c>
      <c r="B1289" s="330" t="s">
        <v>37</v>
      </c>
      <c r="C1289" s="331">
        <v>164379207917</v>
      </c>
      <c r="D1289" s="331">
        <v>41853329118</v>
      </c>
      <c r="E1289" s="331">
        <v>1052252443</v>
      </c>
      <c r="F1289" s="331">
        <v>1104175</v>
      </c>
      <c r="G1289" s="370">
        <f t="shared" si="60"/>
        <v>6.7172424906532653E-6</v>
      </c>
      <c r="H1289" s="370">
        <f t="shared" si="61"/>
        <v>2.6382011258576891E-5</v>
      </c>
      <c r="I1289" s="331">
        <v>444530</v>
      </c>
      <c r="J1289" s="331">
        <v>0</v>
      </c>
      <c r="K1289" s="331">
        <f t="shared" si="62"/>
        <v>444530</v>
      </c>
      <c r="L1289" s="199">
        <v>2.5099999999999998</v>
      </c>
      <c r="M1289" s="199">
        <v>2.23</v>
      </c>
    </row>
    <row r="1290" spans="1:13" ht="15" customHeight="1" x14ac:dyDescent="0.25">
      <c r="A1290" s="49">
        <v>2008</v>
      </c>
      <c r="B1290" s="330" t="s">
        <v>37</v>
      </c>
      <c r="C1290" s="331">
        <v>164129000808</v>
      </c>
      <c r="D1290" s="331">
        <v>40681230110</v>
      </c>
      <c r="E1290" s="331">
        <v>1040658630</v>
      </c>
      <c r="F1290" s="331">
        <v>1440644</v>
      </c>
      <c r="G1290" s="370">
        <f t="shared" si="60"/>
        <v>8.777510329727054E-6</v>
      </c>
      <c r="H1290" s="370">
        <f t="shared" si="61"/>
        <v>3.5412990121109198E-5</v>
      </c>
      <c r="I1290" s="331">
        <v>63121</v>
      </c>
      <c r="J1290" s="331">
        <v>0</v>
      </c>
      <c r="K1290" s="331">
        <f t="shared" si="62"/>
        <v>63121</v>
      </c>
      <c r="L1290" s="199">
        <v>2.6</v>
      </c>
      <c r="M1290" s="199">
        <v>2.23</v>
      </c>
    </row>
    <row r="1291" spans="1:13" ht="15" customHeight="1" x14ac:dyDescent="0.25">
      <c r="A1291" s="49">
        <v>2009</v>
      </c>
      <c r="B1291" s="330" t="s">
        <v>37</v>
      </c>
      <c r="C1291" s="331">
        <v>151655418673</v>
      </c>
      <c r="D1291" s="331">
        <v>37415891549</v>
      </c>
      <c r="E1291" s="331">
        <v>1023019010</v>
      </c>
      <c r="F1291" s="331">
        <v>2843202</v>
      </c>
      <c r="G1291" s="370">
        <f t="shared" si="60"/>
        <v>1.8747777197005556E-5</v>
      </c>
      <c r="H1291" s="370">
        <f t="shared" si="61"/>
        <v>7.5989155470918861E-5</v>
      </c>
      <c r="I1291" s="331">
        <v>35395</v>
      </c>
      <c r="J1291" s="331">
        <v>1727938</v>
      </c>
      <c r="K1291" s="331">
        <f t="shared" si="62"/>
        <v>-1692543</v>
      </c>
      <c r="L1291" s="199">
        <v>2.7</v>
      </c>
      <c r="M1291" s="199">
        <v>1.35</v>
      </c>
    </row>
    <row r="1292" spans="1:13" ht="15" customHeight="1" x14ac:dyDescent="0.25">
      <c r="A1292" s="49">
        <v>2010</v>
      </c>
      <c r="B1292" s="330" t="s">
        <v>37</v>
      </c>
      <c r="C1292" s="331">
        <v>153873713483</v>
      </c>
      <c r="D1292" s="331">
        <v>37249068821</v>
      </c>
      <c r="E1292" s="331">
        <v>1184837152</v>
      </c>
      <c r="F1292" s="331">
        <v>1679210</v>
      </c>
      <c r="G1292" s="370">
        <f t="shared" si="60"/>
        <v>1.0912910087046931E-5</v>
      </c>
      <c r="H1292" s="370">
        <f t="shared" si="61"/>
        <v>4.5080590016073307E-5</v>
      </c>
      <c r="I1292" s="331">
        <v>104059</v>
      </c>
      <c r="J1292" s="331">
        <v>2314187</v>
      </c>
      <c r="K1292" s="331">
        <f t="shared" si="62"/>
        <v>-2210128</v>
      </c>
      <c r="L1292" s="199">
        <v>3.2</v>
      </c>
      <c r="M1292" s="199">
        <v>1.37</v>
      </c>
    </row>
    <row r="1293" spans="1:13" ht="15" customHeight="1" x14ac:dyDescent="0.25">
      <c r="A1293" s="49">
        <v>2011</v>
      </c>
      <c r="B1293" s="330" t="s">
        <v>37</v>
      </c>
      <c r="C1293" s="331">
        <v>161820775861</v>
      </c>
      <c r="D1293" s="331">
        <v>38567388500</v>
      </c>
      <c r="E1293" s="331">
        <v>1463760140</v>
      </c>
      <c r="F1293" s="331">
        <v>1278336</v>
      </c>
      <c r="G1293" s="370">
        <f t="shared" si="60"/>
        <v>7.8997025764977089E-6</v>
      </c>
      <c r="H1293" s="370">
        <f t="shared" si="61"/>
        <v>3.3145516191743187E-5</v>
      </c>
      <c r="I1293" s="331">
        <v>39981</v>
      </c>
      <c r="J1293" s="331">
        <v>2078387</v>
      </c>
      <c r="K1293" s="331">
        <f t="shared" si="62"/>
        <v>-2038406</v>
      </c>
      <c r="L1293" s="199">
        <v>3.8</v>
      </c>
      <c r="M1293" s="199">
        <v>1.37</v>
      </c>
    </row>
    <row r="1294" spans="1:13" ht="15" customHeight="1" x14ac:dyDescent="0.25">
      <c r="A1294" s="49">
        <v>2012</v>
      </c>
      <c r="B1294" s="330" t="s">
        <v>37</v>
      </c>
      <c r="C1294" s="331">
        <v>170482393529</v>
      </c>
      <c r="D1294" s="331">
        <v>39673435160</v>
      </c>
      <c r="E1294" s="331">
        <v>1370867077</v>
      </c>
      <c r="F1294" s="331">
        <v>1132412</v>
      </c>
      <c r="G1294" s="370">
        <f t="shared" si="60"/>
        <v>6.6423985290150825E-6</v>
      </c>
      <c r="H1294" s="370">
        <f t="shared" si="61"/>
        <v>2.8543331209739388E-5</v>
      </c>
      <c r="I1294" s="331">
        <v>21477</v>
      </c>
      <c r="J1294" s="331">
        <v>1739094</v>
      </c>
      <c r="K1294" s="331">
        <f t="shared" si="62"/>
        <v>-1717617</v>
      </c>
      <c r="L1294" s="199">
        <v>3.46</v>
      </c>
      <c r="M1294" s="199">
        <v>1.37</v>
      </c>
    </row>
    <row r="1295" spans="1:13" ht="15" customHeight="1" x14ac:dyDescent="0.25">
      <c r="A1295" s="49">
        <v>2013</v>
      </c>
      <c r="B1295" s="330" t="s">
        <v>37</v>
      </c>
      <c r="C1295" s="331">
        <v>174710794857</v>
      </c>
      <c r="D1295" s="331">
        <v>40442739182</v>
      </c>
      <c r="E1295" s="331">
        <v>1128623006</v>
      </c>
      <c r="F1295" s="331">
        <v>1099952</v>
      </c>
      <c r="G1295" s="370">
        <f t="shared" si="60"/>
        <v>6.2958445177947121E-6</v>
      </c>
      <c r="H1295" s="370">
        <f t="shared" si="61"/>
        <v>2.719776212610148E-5</v>
      </c>
      <c r="I1295" s="331">
        <v>51016</v>
      </c>
      <c r="J1295" s="331">
        <v>1552346</v>
      </c>
      <c r="K1295" s="331">
        <f t="shared" si="62"/>
        <v>-1501330</v>
      </c>
      <c r="L1295" s="199">
        <v>2.79</v>
      </c>
      <c r="M1295" s="199">
        <v>1.37</v>
      </c>
    </row>
    <row r="1296" spans="1:13" x14ac:dyDescent="0.25">
      <c r="A1296" s="49">
        <v>2014</v>
      </c>
      <c r="B1296" s="330" t="s">
        <v>37</v>
      </c>
      <c r="C1296" s="331">
        <v>183512225595</v>
      </c>
      <c r="D1296" s="331">
        <v>41750460932</v>
      </c>
      <c r="E1296" s="331">
        <v>1133742535</v>
      </c>
      <c r="F1296" s="331">
        <v>943364</v>
      </c>
      <c r="G1296" s="370">
        <f t="shared" si="60"/>
        <v>5.1406057386168117E-6</v>
      </c>
      <c r="H1296" s="370">
        <f t="shared" si="61"/>
        <v>2.2595295451623398E-5</v>
      </c>
      <c r="I1296" s="331">
        <v>345479</v>
      </c>
      <c r="J1296" s="331">
        <v>1378734</v>
      </c>
      <c r="K1296" s="331">
        <f t="shared" si="62"/>
        <v>-1033255</v>
      </c>
      <c r="L1296" s="333">
        <v>2.7155210019035581</v>
      </c>
      <c r="M1296" s="199">
        <v>1.37</v>
      </c>
    </row>
    <row r="1297" spans="1:13" ht="15" customHeight="1" x14ac:dyDescent="0.25">
      <c r="A1297" s="49">
        <v>2015</v>
      </c>
      <c r="B1297" s="330" t="s">
        <v>37</v>
      </c>
      <c r="C1297" s="334">
        <v>190588346000</v>
      </c>
      <c r="D1297" s="334">
        <v>42818468000</v>
      </c>
      <c r="E1297" s="334">
        <v>1101092000</v>
      </c>
      <c r="F1297" s="331">
        <v>897886</v>
      </c>
      <c r="G1297" s="370">
        <f t="shared" si="60"/>
        <v>4.7111275103882796E-6</v>
      </c>
      <c r="H1297" s="370">
        <f t="shared" si="61"/>
        <v>2.096959657687893E-5</v>
      </c>
      <c r="I1297" s="331">
        <v>341272</v>
      </c>
      <c r="J1297" s="331">
        <v>773311</v>
      </c>
      <c r="K1297" s="331">
        <f t="shared" si="62"/>
        <v>-432039</v>
      </c>
      <c r="L1297" s="199">
        <v>2.6</v>
      </c>
      <c r="M1297" s="199">
        <v>1.37</v>
      </c>
    </row>
    <row r="1298" spans="1:13" ht="15" customHeight="1" x14ac:dyDescent="0.25">
      <c r="A1298" s="49">
        <v>1980</v>
      </c>
      <c r="B1298" s="330" t="s">
        <v>38</v>
      </c>
      <c r="C1298" s="331">
        <v>13287244040</v>
      </c>
      <c r="D1298" s="331">
        <v>5703963138</v>
      </c>
      <c r="E1298" s="331">
        <v>61223483</v>
      </c>
      <c r="F1298" s="331">
        <v>63171</v>
      </c>
      <c r="G1298" s="370">
        <f t="shared" si="60"/>
        <v>4.7542590329363737E-6</v>
      </c>
      <c r="H1298" s="370">
        <f t="shared" si="61"/>
        <v>1.1074931319095071E-5</v>
      </c>
      <c r="I1298" s="331">
        <v>195557</v>
      </c>
      <c r="J1298" s="331">
        <v>0</v>
      </c>
      <c r="K1298" s="331">
        <f t="shared" si="62"/>
        <v>195557</v>
      </c>
      <c r="L1298" s="199">
        <v>1.07</v>
      </c>
      <c r="M1298" s="199">
        <v>1.1599999999999999</v>
      </c>
    </row>
    <row r="1299" spans="1:13" ht="15" customHeight="1" x14ac:dyDescent="0.25">
      <c r="A1299" s="49">
        <v>1981</v>
      </c>
      <c r="B1299" s="330" t="s">
        <v>38</v>
      </c>
      <c r="C1299" s="331">
        <v>15513631582</v>
      </c>
      <c r="D1299" s="331">
        <v>6131856449</v>
      </c>
      <c r="E1299" s="331">
        <v>51216873</v>
      </c>
      <c r="F1299" s="331">
        <v>60229</v>
      </c>
      <c r="G1299" s="370">
        <f t="shared" si="60"/>
        <v>3.8823275956792666E-6</v>
      </c>
      <c r="H1299" s="370">
        <f t="shared" si="61"/>
        <v>9.8223108288554777E-6</v>
      </c>
      <c r="I1299" s="331">
        <v>212732</v>
      </c>
      <c r="J1299" s="331">
        <v>0</v>
      </c>
      <c r="K1299" s="331">
        <f t="shared" si="62"/>
        <v>212732</v>
      </c>
      <c r="L1299" s="199">
        <v>0.84</v>
      </c>
      <c r="M1299" s="199">
        <v>1.04</v>
      </c>
    </row>
    <row r="1300" spans="1:13" ht="15" customHeight="1" x14ac:dyDescent="0.25">
      <c r="A1300" s="49">
        <v>1982</v>
      </c>
      <c r="B1300" s="330" t="s">
        <v>38</v>
      </c>
      <c r="C1300" s="331">
        <v>17060647401</v>
      </c>
      <c r="D1300" s="331">
        <v>6345948958</v>
      </c>
      <c r="E1300" s="331">
        <v>53927701</v>
      </c>
      <c r="F1300" s="331">
        <v>179978</v>
      </c>
      <c r="G1300" s="370">
        <f t="shared" si="60"/>
        <v>1.0549306586656887E-5</v>
      </c>
      <c r="H1300" s="370">
        <f t="shared" si="61"/>
        <v>2.8361085346126415E-5</v>
      </c>
      <c r="I1300" s="331">
        <v>108387</v>
      </c>
      <c r="J1300" s="331">
        <v>0</v>
      </c>
      <c r="K1300" s="331">
        <f t="shared" si="62"/>
        <v>108387</v>
      </c>
      <c r="L1300" s="199">
        <v>0.85</v>
      </c>
      <c r="M1300" s="199">
        <v>1.08</v>
      </c>
    </row>
    <row r="1301" spans="1:13" ht="15" customHeight="1" x14ac:dyDescent="0.25">
      <c r="A1301" s="49">
        <v>1983</v>
      </c>
      <c r="B1301" s="330" t="s">
        <v>38</v>
      </c>
      <c r="C1301" s="331">
        <v>15451169429</v>
      </c>
      <c r="D1301" s="331">
        <v>6455777006</v>
      </c>
      <c r="E1301" s="331">
        <v>121480483</v>
      </c>
      <c r="F1301" s="331">
        <v>209202</v>
      </c>
      <c r="G1301" s="370">
        <f t="shared" si="60"/>
        <v>1.3539557698937197E-5</v>
      </c>
      <c r="H1301" s="370">
        <f t="shared" si="61"/>
        <v>3.2405394394132206E-5</v>
      </c>
      <c r="I1301" s="331">
        <v>30486</v>
      </c>
      <c r="J1301" s="331">
        <v>0</v>
      </c>
      <c r="K1301" s="331">
        <f t="shared" si="62"/>
        <v>30486</v>
      </c>
      <c r="L1301" s="199">
        <v>1.88</v>
      </c>
      <c r="M1301" s="199">
        <v>1.22</v>
      </c>
    </row>
    <row r="1302" spans="1:13" ht="15" customHeight="1" x14ac:dyDescent="0.25">
      <c r="A1302" s="49">
        <v>1984</v>
      </c>
      <c r="B1302" s="330" t="s">
        <v>38</v>
      </c>
      <c r="C1302" s="331">
        <v>16612238590</v>
      </c>
      <c r="D1302" s="331">
        <v>6632600201</v>
      </c>
      <c r="E1302" s="331">
        <v>154669698</v>
      </c>
      <c r="F1302" s="331">
        <v>120282</v>
      </c>
      <c r="G1302" s="370">
        <f t="shared" si="60"/>
        <v>7.2405654029316467E-6</v>
      </c>
      <c r="H1302" s="370">
        <f t="shared" si="61"/>
        <v>1.8134969145564516E-5</v>
      </c>
      <c r="I1302" s="331">
        <v>82935</v>
      </c>
      <c r="J1302" s="331">
        <v>0</v>
      </c>
      <c r="K1302" s="331">
        <f t="shared" si="62"/>
        <v>82935</v>
      </c>
      <c r="L1302" s="199">
        <v>2.33</v>
      </c>
      <c r="M1302" s="199">
        <v>1.22</v>
      </c>
    </row>
    <row r="1303" spans="1:13" ht="15" customHeight="1" x14ac:dyDescent="0.25">
      <c r="A1303" s="49">
        <v>1985</v>
      </c>
      <c r="B1303" s="330" t="s">
        <v>38</v>
      </c>
      <c r="C1303" s="331">
        <v>16381048559</v>
      </c>
      <c r="D1303" s="331">
        <v>6431822189</v>
      </c>
      <c r="E1303" s="331">
        <v>161315409</v>
      </c>
      <c r="F1303" s="331">
        <v>159300</v>
      </c>
      <c r="G1303" s="370">
        <f t="shared" si="60"/>
        <v>9.7246522056415076E-6</v>
      </c>
      <c r="H1303" s="370">
        <f t="shared" si="61"/>
        <v>2.4767475735327731E-5</v>
      </c>
      <c r="I1303" s="331">
        <v>105720</v>
      </c>
      <c r="J1303" s="331">
        <v>0</v>
      </c>
      <c r="K1303" s="331">
        <f t="shared" si="62"/>
        <v>105720</v>
      </c>
      <c r="L1303" s="199">
        <v>2.5099999999999998</v>
      </c>
      <c r="M1303" s="199">
        <v>1.22</v>
      </c>
    </row>
    <row r="1304" spans="1:13" ht="15" customHeight="1" x14ac:dyDescent="0.25">
      <c r="A1304" s="49">
        <v>1986</v>
      </c>
      <c r="B1304" s="330" t="s">
        <v>38</v>
      </c>
      <c r="C1304" s="331">
        <v>16207452133</v>
      </c>
      <c r="D1304" s="331">
        <v>7494491691</v>
      </c>
      <c r="E1304" s="331">
        <v>175485976</v>
      </c>
      <c r="F1304" s="331">
        <v>222511</v>
      </c>
      <c r="G1304" s="370">
        <f t="shared" si="60"/>
        <v>1.3728931492380919E-5</v>
      </c>
      <c r="H1304" s="370">
        <f t="shared" si="61"/>
        <v>2.9689938847648526E-5</v>
      </c>
      <c r="I1304" s="331">
        <v>68583</v>
      </c>
      <c r="J1304" s="331">
        <v>0</v>
      </c>
      <c r="K1304" s="331">
        <f t="shared" si="62"/>
        <v>68583</v>
      </c>
      <c r="L1304" s="199">
        <v>2.34</v>
      </c>
      <c r="M1304" s="199">
        <v>1.32</v>
      </c>
    </row>
    <row r="1305" spans="1:13" ht="15" customHeight="1" x14ac:dyDescent="0.25">
      <c r="A1305" s="49">
        <v>1987</v>
      </c>
      <c r="B1305" s="330" t="s">
        <v>38</v>
      </c>
      <c r="C1305" s="331">
        <v>16070988710</v>
      </c>
      <c r="D1305" s="331">
        <v>7419146675</v>
      </c>
      <c r="E1305" s="331">
        <v>173852535</v>
      </c>
      <c r="F1305" s="331">
        <v>137174</v>
      </c>
      <c r="G1305" s="370">
        <f t="shared" si="60"/>
        <v>8.5355047206675569E-6</v>
      </c>
      <c r="H1305" s="370">
        <f t="shared" si="61"/>
        <v>1.8489188313560331E-5</v>
      </c>
      <c r="I1305" s="331">
        <v>112446</v>
      </c>
      <c r="J1305" s="331">
        <v>0</v>
      </c>
      <c r="K1305" s="331">
        <f t="shared" si="62"/>
        <v>112446</v>
      </c>
      <c r="L1305" s="199">
        <v>2.34</v>
      </c>
      <c r="M1305" s="199">
        <v>1.32</v>
      </c>
    </row>
    <row r="1306" spans="1:13" ht="15" customHeight="1" x14ac:dyDescent="0.25">
      <c r="A1306" s="49">
        <v>1988</v>
      </c>
      <c r="B1306" s="330" t="s">
        <v>38</v>
      </c>
      <c r="C1306" s="331">
        <v>16948158256</v>
      </c>
      <c r="D1306" s="331">
        <v>7661159065</v>
      </c>
      <c r="E1306" s="331">
        <v>182559337</v>
      </c>
      <c r="F1306" s="331">
        <v>97787</v>
      </c>
      <c r="G1306" s="370">
        <f t="shared" si="60"/>
        <v>5.7697714715037768E-6</v>
      </c>
      <c r="H1306" s="370">
        <f t="shared" si="61"/>
        <v>1.2763995522131873E-5</v>
      </c>
      <c r="I1306" s="331">
        <v>214446</v>
      </c>
      <c r="J1306" s="331">
        <v>0</v>
      </c>
      <c r="K1306" s="331">
        <f t="shared" si="62"/>
        <v>214446</v>
      </c>
      <c r="L1306" s="199">
        <v>2.38</v>
      </c>
      <c r="M1306" s="199">
        <v>1.32</v>
      </c>
    </row>
    <row r="1307" spans="1:13" ht="15" customHeight="1" x14ac:dyDescent="0.25">
      <c r="A1307" s="49">
        <v>1989</v>
      </c>
      <c r="B1307" s="330" t="s">
        <v>38</v>
      </c>
      <c r="C1307" s="331">
        <v>17587910264</v>
      </c>
      <c r="D1307" s="331">
        <v>7831710707</v>
      </c>
      <c r="E1307" s="331">
        <v>170350119</v>
      </c>
      <c r="F1307" s="331">
        <v>89155</v>
      </c>
      <c r="G1307" s="370">
        <f t="shared" si="60"/>
        <v>5.0691070548891676E-6</v>
      </c>
      <c r="H1307" s="370">
        <f t="shared" si="61"/>
        <v>1.1383847454977247E-5</v>
      </c>
      <c r="I1307" s="331">
        <v>323306</v>
      </c>
      <c r="J1307" s="331">
        <v>0</v>
      </c>
      <c r="K1307" s="331">
        <f t="shared" si="62"/>
        <v>323306</v>
      </c>
      <c r="L1307" s="199">
        <v>2.1800000000000002</v>
      </c>
      <c r="M1307" s="199">
        <v>1.32</v>
      </c>
    </row>
    <row r="1308" spans="1:13" ht="15" customHeight="1" x14ac:dyDescent="0.25">
      <c r="A1308" s="49">
        <v>1990</v>
      </c>
      <c r="B1308" s="330" t="s">
        <v>38</v>
      </c>
      <c r="C1308" s="331">
        <v>18377766013</v>
      </c>
      <c r="D1308" s="331">
        <v>8208737218</v>
      </c>
      <c r="E1308" s="331">
        <v>142495797</v>
      </c>
      <c r="F1308" s="331">
        <v>100042</v>
      </c>
      <c r="G1308" s="370">
        <f t="shared" si="60"/>
        <v>5.4436431462470815E-6</v>
      </c>
      <c r="H1308" s="370">
        <f t="shared" si="61"/>
        <v>1.2187258203445634E-5</v>
      </c>
      <c r="I1308" s="331">
        <v>401832</v>
      </c>
      <c r="J1308" s="331">
        <v>0</v>
      </c>
      <c r="K1308" s="331">
        <f t="shared" si="62"/>
        <v>401832</v>
      </c>
      <c r="L1308" s="199">
        <v>1.74</v>
      </c>
      <c r="M1308" s="199">
        <v>1.32</v>
      </c>
    </row>
    <row r="1309" spans="1:13" ht="15" customHeight="1" x14ac:dyDescent="0.25">
      <c r="A1309" s="49">
        <v>1991</v>
      </c>
      <c r="B1309" s="330" t="s">
        <v>38</v>
      </c>
      <c r="C1309" s="331">
        <v>19052515292</v>
      </c>
      <c r="D1309" s="331">
        <v>8421250949</v>
      </c>
      <c r="E1309" s="331">
        <v>102843180</v>
      </c>
      <c r="F1309" s="331">
        <v>123905</v>
      </c>
      <c r="G1309" s="370">
        <f t="shared" si="60"/>
        <v>6.5033407978434599E-6</v>
      </c>
      <c r="H1309" s="370">
        <f t="shared" si="61"/>
        <v>1.4713372247232861E-5</v>
      </c>
      <c r="I1309" s="331">
        <v>426398</v>
      </c>
      <c r="J1309" s="331">
        <v>0</v>
      </c>
      <c r="K1309" s="331">
        <f t="shared" si="62"/>
        <v>426398</v>
      </c>
      <c r="L1309" s="199">
        <v>1.22</v>
      </c>
      <c r="M1309" s="199">
        <v>1.32</v>
      </c>
    </row>
    <row r="1310" spans="1:13" ht="15" customHeight="1" x14ac:dyDescent="0.25">
      <c r="A1310" s="49">
        <v>1992</v>
      </c>
      <c r="B1310" s="330" t="s">
        <v>38</v>
      </c>
      <c r="C1310" s="331">
        <v>19965898506</v>
      </c>
      <c r="D1310" s="331">
        <v>8885882830</v>
      </c>
      <c r="E1310" s="331">
        <v>92535354</v>
      </c>
      <c r="F1310" s="331">
        <v>138573</v>
      </c>
      <c r="G1310" s="370">
        <f t="shared" si="60"/>
        <v>6.9404840437487497E-6</v>
      </c>
      <c r="H1310" s="370">
        <f t="shared" si="61"/>
        <v>1.55947363532814E-5</v>
      </c>
      <c r="I1310" s="331">
        <v>418907</v>
      </c>
      <c r="J1310" s="331">
        <v>0</v>
      </c>
      <c r="K1310" s="331">
        <f t="shared" si="62"/>
        <v>418907</v>
      </c>
      <c r="L1310" s="199">
        <v>1.04</v>
      </c>
      <c r="M1310" s="199">
        <v>1.32</v>
      </c>
    </row>
    <row r="1311" spans="1:13" ht="15" customHeight="1" x14ac:dyDescent="0.25">
      <c r="A1311" s="49">
        <v>1993</v>
      </c>
      <c r="B1311" s="330" t="s">
        <v>38</v>
      </c>
      <c r="C1311" s="331">
        <v>20595073233</v>
      </c>
      <c r="D1311" s="331">
        <v>9332737846</v>
      </c>
      <c r="E1311" s="331">
        <v>102815512</v>
      </c>
      <c r="F1311" s="331">
        <v>113433</v>
      </c>
      <c r="G1311" s="370">
        <f t="shared" si="60"/>
        <v>5.5077735687894261E-6</v>
      </c>
      <c r="H1311" s="370">
        <f t="shared" si="61"/>
        <v>1.2154311186252514E-5</v>
      </c>
      <c r="I1311" s="331">
        <v>437800</v>
      </c>
      <c r="J1311" s="331">
        <v>0</v>
      </c>
      <c r="K1311" s="331">
        <f t="shared" si="62"/>
        <v>437800</v>
      </c>
      <c r="L1311" s="199">
        <v>1.1000000000000001</v>
      </c>
      <c r="M1311" s="199">
        <v>1.32</v>
      </c>
    </row>
    <row r="1312" spans="1:13" ht="15" customHeight="1" x14ac:dyDescent="0.25">
      <c r="A1312" s="49">
        <v>1994</v>
      </c>
      <c r="B1312" s="330" t="s">
        <v>38</v>
      </c>
      <c r="C1312" s="331">
        <v>21525452848</v>
      </c>
      <c r="D1312" s="331">
        <v>9902896683</v>
      </c>
      <c r="E1312" s="331">
        <v>113220319</v>
      </c>
      <c r="F1312" s="331">
        <v>106079</v>
      </c>
      <c r="G1312" s="370">
        <f t="shared" si="60"/>
        <v>4.9280728609552174E-6</v>
      </c>
      <c r="H1312" s="370">
        <f t="shared" si="61"/>
        <v>1.071191626002749E-5</v>
      </c>
      <c r="I1312" s="331">
        <v>474866</v>
      </c>
      <c r="J1312" s="331">
        <v>0</v>
      </c>
      <c r="K1312" s="331">
        <f t="shared" si="62"/>
        <v>474866</v>
      </c>
      <c r="L1312" s="199">
        <v>1.1399999999999999</v>
      </c>
      <c r="M1312" s="199">
        <v>1.32</v>
      </c>
    </row>
    <row r="1313" spans="1:13" ht="15" customHeight="1" x14ac:dyDescent="0.25">
      <c r="A1313" s="49">
        <v>1995</v>
      </c>
      <c r="B1313" s="330" t="s">
        <v>38</v>
      </c>
      <c r="C1313" s="331">
        <v>22497638956</v>
      </c>
      <c r="D1313" s="331">
        <v>10282740124</v>
      </c>
      <c r="E1313" s="331">
        <v>110145809</v>
      </c>
      <c r="F1313" s="331">
        <v>100069</v>
      </c>
      <c r="G1313" s="370">
        <f t="shared" si="60"/>
        <v>4.4479778609529216E-6</v>
      </c>
      <c r="H1313" s="370">
        <f t="shared" si="61"/>
        <v>9.7317445343618215E-6</v>
      </c>
      <c r="I1313" s="331">
        <v>521683</v>
      </c>
      <c r="J1313" s="331">
        <v>0</v>
      </c>
      <c r="K1313" s="331">
        <f t="shared" si="62"/>
        <v>521683</v>
      </c>
      <c r="L1313" s="199">
        <v>1.07</v>
      </c>
      <c r="M1313" s="199">
        <v>1.26</v>
      </c>
    </row>
    <row r="1314" spans="1:13" ht="15" customHeight="1" x14ac:dyDescent="0.25">
      <c r="A1314" s="49">
        <v>1996</v>
      </c>
      <c r="B1314" s="330" t="s">
        <v>38</v>
      </c>
      <c r="C1314" s="331">
        <v>24051714846</v>
      </c>
      <c r="D1314" s="331">
        <v>10992553480</v>
      </c>
      <c r="E1314" s="331">
        <v>95785491</v>
      </c>
      <c r="F1314" s="331">
        <v>97729</v>
      </c>
      <c r="G1314" s="370">
        <f t="shared" si="60"/>
        <v>4.0632861575877674E-6</v>
      </c>
      <c r="H1314" s="370">
        <f t="shared" si="61"/>
        <v>8.8904730077328672E-6</v>
      </c>
      <c r="I1314" s="331">
        <v>563895</v>
      </c>
      <c r="J1314" s="331">
        <v>0</v>
      </c>
      <c r="K1314" s="331">
        <f t="shared" si="62"/>
        <v>563895</v>
      </c>
      <c r="L1314" s="199">
        <v>0.87</v>
      </c>
      <c r="M1314" s="199">
        <v>1.26</v>
      </c>
    </row>
    <row r="1315" spans="1:13" ht="15" customHeight="1" x14ac:dyDescent="0.25">
      <c r="A1315" s="49">
        <v>1997</v>
      </c>
      <c r="B1315" s="330" t="s">
        <v>38</v>
      </c>
      <c r="C1315" s="331">
        <v>25882168100</v>
      </c>
      <c r="D1315" s="331">
        <v>11701007118</v>
      </c>
      <c r="E1315" s="331">
        <v>83860334</v>
      </c>
      <c r="F1315" s="331">
        <v>81651</v>
      </c>
      <c r="G1315" s="370">
        <f t="shared" si="60"/>
        <v>3.1547202569942353E-6</v>
      </c>
      <c r="H1315" s="370">
        <f t="shared" si="61"/>
        <v>6.9781172831177827E-6</v>
      </c>
      <c r="I1315" s="331">
        <v>608942</v>
      </c>
      <c r="J1315" s="331">
        <v>0</v>
      </c>
      <c r="K1315" s="331">
        <f t="shared" si="62"/>
        <v>608942</v>
      </c>
      <c r="L1315" s="199">
        <v>0.72</v>
      </c>
      <c r="M1315" s="199">
        <v>1.26</v>
      </c>
    </row>
    <row r="1316" spans="1:13" ht="15" customHeight="1" x14ac:dyDescent="0.25">
      <c r="A1316" s="49">
        <v>1998</v>
      </c>
      <c r="B1316" s="330" t="s">
        <v>38</v>
      </c>
      <c r="C1316" s="331">
        <v>28069360364</v>
      </c>
      <c r="D1316" s="331">
        <v>12690050723</v>
      </c>
      <c r="E1316" s="331">
        <v>48384033</v>
      </c>
      <c r="F1316" s="331">
        <v>88755</v>
      </c>
      <c r="G1316" s="370">
        <f t="shared" si="60"/>
        <v>3.1619886897683494E-6</v>
      </c>
      <c r="H1316" s="370">
        <f t="shared" si="61"/>
        <v>6.9940618786603093E-6</v>
      </c>
      <c r="I1316" s="331">
        <v>614059</v>
      </c>
      <c r="J1316" s="331">
        <v>0</v>
      </c>
      <c r="K1316" s="331">
        <f t="shared" si="62"/>
        <v>614059</v>
      </c>
      <c r="L1316" s="199">
        <v>0.38</v>
      </c>
      <c r="M1316" s="199">
        <v>1.26</v>
      </c>
    </row>
    <row r="1317" spans="1:13" ht="15" customHeight="1" x14ac:dyDescent="0.25">
      <c r="A1317" s="49">
        <v>1999</v>
      </c>
      <c r="B1317" s="330" t="s">
        <v>38</v>
      </c>
      <c r="C1317" s="331">
        <v>29108201431</v>
      </c>
      <c r="D1317" s="331">
        <v>13369768098</v>
      </c>
      <c r="E1317" s="331">
        <v>54112833</v>
      </c>
      <c r="F1317" s="331">
        <v>114862</v>
      </c>
      <c r="G1317" s="370">
        <f t="shared" si="60"/>
        <v>3.9460356309638869E-6</v>
      </c>
      <c r="H1317" s="370">
        <f t="shared" si="61"/>
        <v>8.5911736956142386E-6</v>
      </c>
      <c r="I1317" s="331">
        <v>586078</v>
      </c>
      <c r="J1317" s="331">
        <v>0</v>
      </c>
      <c r="K1317" s="331">
        <f t="shared" si="62"/>
        <v>586078</v>
      </c>
      <c r="L1317" s="199">
        <v>0.4</v>
      </c>
      <c r="M1317" s="199">
        <v>1.26</v>
      </c>
    </row>
    <row r="1318" spans="1:13" ht="15" customHeight="1" x14ac:dyDescent="0.25">
      <c r="A1318" s="49">
        <v>2000</v>
      </c>
      <c r="B1318" s="330" t="s">
        <v>38</v>
      </c>
      <c r="C1318" s="331">
        <v>31053469437</v>
      </c>
      <c r="D1318" s="331">
        <v>12106753712</v>
      </c>
      <c r="E1318" s="331">
        <v>45543976</v>
      </c>
      <c r="F1318" s="331">
        <v>98302</v>
      </c>
      <c r="G1318" s="370">
        <f t="shared" si="60"/>
        <v>3.165572214062298E-6</v>
      </c>
      <c r="H1318" s="370">
        <f t="shared" si="61"/>
        <v>8.119600211455925E-6</v>
      </c>
      <c r="I1318" s="331">
        <v>571571</v>
      </c>
      <c r="J1318" s="331">
        <v>0</v>
      </c>
      <c r="K1318" s="331">
        <f t="shared" si="62"/>
        <v>571571</v>
      </c>
      <c r="L1318" s="199">
        <v>0.38</v>
      </c>
      <c r="M1318" s="199">
        <v>1.26</v>
      </c>
    </row>
    <row r="1319" spans="1:13" ht="15" customHeight="1" x14ac:dyDescent="0.25">
      <c r="A1319" s="49">
        <v>2001</v>
      </c>
      <c r="B1319" s="330" t="s">
        <v>38</v>
      </c>
      <c r="C1319" s="331">
        <v>32421387598</v>
      </c>
      <c r="D1319" s="331">
        <v>12479262075</v>
      </c>
      <c r="E1319" s="331">
        <v>54529080</v>
      </c>
      <c r="F1319" s="331">
        <v>169404</v>
      </c>
      <c r="G1319" s="370">
        <f t="shared" si="60"/>
        <v>5.2250693924787516E-6</v>
      </c>
      <c r="H1319" s="370">
        <f t="shared" si="61"/>
        <v>1.3574841122967601E-5</v>
      </c>
      <c r="I1319" s="331">
        <v>490994</v>
      </c>
      <c r="J1319" s="331">
        <v>0</v>
      </c>
      <c r="K1319" s="331">
        <f t="shared" si="62"/>
        <v>490994</v>
      </c>
      <c r="L1319" s="199">
        <v>0.44</v>
      </c>
      <c r="M1319" s="199">
        <v>1.26</v>
      </c>
    </row>
    <row r="1320" spans="1:13" ht="15" customHeight="1" x14ac:dyDescent="0.25">
      <c r="A1320" s="49">
        <v>2002</v>
      </c>
      <c r="B1320" s="330" t="s">
        <v>38</v>
      </c>
      <c r="C1320" s="331">
        <v>32332813317</v>
      </c>
      <c r="D1320" s="331">
        <v>12553975529</v>
      </c>
      <c r="E1320" s="331">
        <v>98299377</v>
      </c>
      <c r="F1320" s="331">
        <v>244370</v>
      </c>
      <c r="G1320" s="370">
        <f t="shared" si="60"/>
        <v>7.5579566060066524E-6</v>
      </c>
      <c r="H1320" s="370">
        <f t="shared" si="61"/>
        <v>1.9465546944511651E-5</v>
      </c>
      <c r="I1320" s="331">
        <v>450571</v>
      </c>
      <c r="J1320" s="331">
        <v>0</v>
      </c>
      <c r="K1320" s="331">
        <f t="shared" si="62"/>
        <v>450571</v>
      </c>
      <c r="L1320" s="199">
        <v>0.78</v>
      </c>
      <c r="M1320" s="199">
        <v>1.26</v>
      </c>
    </row>
    <row r="1321" spans="1:13" ht="15" customHeight="1" x14ac:dyDescent="0.25">
      <c r="A1321" s="49">
        <v>2003</v>
      </c>
      <c r="B1321" s="330" t="s">
        <v>38</v>
      </c>
      <c r="C1321" s="331">
        <v>32905800157</v>
      </c>
      <c r="D1321" s="331">
        <v>13263980138</v>
      </c>
      <c r="E1321" s="331">
        <v>159865535</v>
      </c>
      <c r="F1321" s="331">
        <v>271371</v>
      </c>
      <c r="G1321" s="370">
        <f t="shared" si="60"/>
        <v>8.2469047616297423E-6</v>
      </c>
      <c r="H1321" s="370">
        <f t="shared" si="61"/>
        <v>2.0459243543538545E-5</v>
      </c>
      <c r="I1321" s="331">
        <v>352751</v>
      </c>
      <c r="J1321" s="331">
        <v>0</v>
      </c>
      <c r="K1321" s="331">
        <f t="shared" si="62"/>
        <v>352751</v>
      </c>
      <c r="L1321" s="199">
        <v>1.2</v>
      </c>
      <c r="M1321" s="199">
        <v>1.26</v>
      </c>
    </row>
    <row r="1322" spans="1:13" ht="15" customHeight="1" x14ac:dyDescent="0.25">
      <c r="A1322" s="49">
        <v>2004</v>
      </c>
      <c r="B1322" s="330" t="s">
        <v>38</v>
      </c>
      <c r="C1322" s="331">
        <v>34621435458</v>
      </c>
      <c r="D1322" s="331">
        <v>15654577128</v>
      </c>
      <c r="E1322" s="331">
        <v>284042861</v>
      </c>
      <c r="F1322" s="331">
        <v>195361</v>
      </c>
      <c r="G1322" s="370">
        <f t="shared" si="60"/>
        <v>5.6427758530404263E-6</v>
      </c>
      <c r="H1322" s="370">
        <f t="shared" si="61"/>
        <v>1.247948113849556E-5</v>
      </c>
      <c r="I1322" s="331">
        <v>450517</v>
      </c>
      <c r="J1322" s="331">
        <v>0</v>
      </c>
      <c r="K1322" s="331">
        <f t="shared" si="62"/>
        <v>450517</v>
      </c>
      <c r="L1322" s="199">
        <v>1.81</v>
      </c>
      <c r="M1322" s="199">
        <v>1.26</v>
      </c>
    </row>
    <row r="1323" spans="1:13" ht="15" customHeight="1" x14ac:dyDescent="0.25">
      <c r="A1323" s="49">
        <v>2005</v>
      </c>
      <c r="B1323" s="330" t="s">
        <v>38</v>
      </c>
      <c r="C1323" s="331">
        <v>36974417043</v>
      </c>
      <c r="D1323" s="331">
        <v>16031510112</v>
      </c>
      <c r="E1323" s="331">
        <v>283827805</v>
      </c>
      <c r="F1323" s="331">
        <v>147147</v>
      </c>
      <c r="G1323" s="370">
        <f t="shared" si="60"/>
        <v>3.9796976333358549E-6</v>
      </c>
      <c r="H1323" s="370">
        <f t="shared" si="61"/>
        <v>9.1786113081048216E-6</v>
      </c>
      <c r="I1323" s="331">
        <v>610895</v>
      </c>
      <c r="J1323" s="331">
        <v>0</v>
      </c>
      <c r="K1323" s="331">
        <f t="shared" si="62"/>
        <v>610895</v>
      </c>
      <c r="L1323" s="199">
        <v>1.77</v>
      </c>
      <c r="M1323" s="199">
        <v>1.26</v>
      </c>
    </row>
    <row r="1324" spans="1:13" ht="15" customHeight="1" x14ac:dyDescent="0.25">
      <c r="A1324" s="49">
        <v>2006</v>
      </c>
      <c r="B1324" s="330" t="s">
        <v>38</v>
      </c>
      <c r="C1324" s="331">
        <v>41216354336</v>
      </c>
      <c r="D1324" s="331">
        <v>16698786291</v>
      </c>
      <c r="E1324" s="331">
        <v>238298822</v>
      </c>
      <c r="F1324" s="331">
        <v>133743</v>
      </c>
      <c r="G1324" s="370">
        <f t="shared" si="60"/>
        <v>3.2449012571493631E-6</v>
      </c>
      <c r="H1324" s="370">
        <f t="shared" si="61"/>
        <v>8.0091449563662182E-6</v>
      </c>
      <c r="I1324" s="331">
        <v>747655</v>
      </c>
      <c r="J1324" s="331">
        <v>0</v>
      </c>
      <c r="K1324" s="331">
        <f t="shared" si="62"/>
        <v>747655</v>
      </c>
      <c r="L1324" s="199">
        <v>1.43</v>
      </c>
      <c r="M1324" s="199">
        <v>1.26</v>
      </c>
    </row>
    <row r="1325" spans="1:13" ht="15" customHeight="1" x14ac:dyDescent="0.25">
      <c r="A1325" s="49">
        <v>2007</v>
      </c>
      <c r="B1325" s="330" t="s">
        <v>38</v>
      </c>
      <c r="C1325" s="331">
        <v>43780634284</v>
      </c>
      <c r="D1325" s="331">
        <v>17009607357</v>
      </c>
      <c r="E1325" s="331">
        <v>192781863</v>
      </c>
      <c r="F1325" s="331">
        <v>148214</v>
      </c>
      <c r="G1325" s="370">
        <f t="shared" si="60"/>
        <v>3.3853780883701368E-6</v>
      </c>
      <c r="H1325" s="370">
        <f t="shared" si="61"/>
        <v>8.7135462265097591E-6</v>
      </c>
      <c r="I1325" s="331">
        <v>831388</v>
      </c>
      <c r="J1325" s="331">
        <v>0</v>
      </c>
      <c r="K1325" s="331">
        <f t="shared" si="62"/>
        <v>831388</v>
      </c>
      <c r="L1325" s="199">
        <v>1.1299999999999999</v>
      </c>
      <c r="M1325" s="199">
        <v>1.26</v>
      </c>
    </row>
    <row r="1326" spans="1:13" ht="15" customHeight="1" x14ac:dyDescent="0.25">
      <c r="A1326" s="49">
        <v>2008</v>
      </c>
      <c r="B1326" s="330" t="s">
        <v>38</v>
      </c>
      <c r="C1326" s="331">
        <v>46725826827</v>
      </c>
      <c r="D1326" s="331">
        <v>17951921979</v>
      </c>
      <c r="E1326" s="331">
        <v>135310217</v>
      </c>
      <c r="F1326" s="331">
        <v>182301</v>
      </c>
      <c r="G1326" s="370">
        <f t="shared" si="60"/>
        <v>3.9015039942462695E-6</v>
      </c>
      <c r="H1326" s="370">
        <f t="shared" si="61"/>
        <v>1.0154957235958027E-5</v>
      </c>
      <c r="I1326" s="331">
        <v>824286</v>
      </c>
      <c r="J1326" s="331">
        <v>0</v>
      </c>
      <c r="K1326" s="331">
        <f t="shared" si="62"/>
        <v>824286</v>
      </c>
      <c r="L1326" s="199">
        <v>0.8</v>
      </c>
      <c r="M1326" s="199">
        <v>1.26</v>
      </c>
    </row>
    <row r="1327" spans="1:13" ht="15" customHeight="1" x14ac:dyDescent="0.25">
      <c r="A1327" s="49">
        <v>2009</v>
      </c>
      <c r="B1327" s="330" t="s">
        <v>38</v>
      </c>
      <c r="C1327" s="331">
        <v>44314474333</v>
      </c>
      <c r="D1327" s="331">
        <v>17380072766</v>
      </c>
      <c r="E1327" s="331">
        <v>118405036</v>
      </c>
      <c r="F1327" s="331">
        <v>556965</v>
      </c>
      <c r="G1327" s="370">
        <f t="shared" si="60"/>
        <v>1.2568466813229027E-5</v>
      </c>
      <c r="H1327" s="370">
        <f t="shared" si="61"/>
        <v>3.204618343656019E-5</v>
      </c>
      <c r="I1327" s="331">
        <v>488513</v>
      </c>
      <c r="J1327" s="331">
        <v>0</v>
      </c>
      <c r="K1327" s="331">
        <f t="shared" si="62"/>
        <v>488513</v>
      </c>
      <c r="L1327" s="199">
        <v>0.7</v>
      </c>
      <c r="M1327" s="199">
        <v>0.95</v>
      </c>
    </row>
    <row r="1328" spans="1:13" ht="15" customHeight="1" x14ac:dyDescent="0.25">
      <c r="A1328" s="49">
        <v>2010</v>
      </c>
      <c r="B1328" s="330" t="s">
        <v>38</v>
      </c>
      <c r="C1328" s="331">
        <v>45092347339</v>
      </c>
      <c r="D1328" s="331">
        <v>18042521688</v>
      </c>
      <c r="E1328" s="331">
        <v>174577583</v>
      </c>
      <c r="F1328" s="331">
        <v>392684</v>
      </c>
      <c r="G1328" s="370">
        <f t="shared" si="60"/>
        <v>8.7084399720386892E-6</v>
      </c>
      <c r="H1328" s="370">
        <f t="shared" si="61"/>
        <v>2.1764363473714008E-5</v>
      </c>
      <c r="I1328" s="331">
        <v>269431</v>
      </c>
      <c r="J1328" s="331">
        <v>0</v>
      </c>
      <c r="K1328" s="331">
        <f t="shared" si="62"/>
        <v>269431</v>
      </c>
      <c r="L1328" s="199">
        <v>1</v>
      </c>
      <c r="M1328" s="199">
        <v>0.99</v>
      </c>
    </row>
    <row r="1329" spans="1:13" ht="15" customHeight="1" x14ac:dyDescent="0.25">
      <c r="A1329" s="49">
        <v>2011</v>
      </c>
      <c r="B1329" s="330" t="s">
        <v>38</v>
      </c>
      <c r="C1329" s="331">
        <v>48625702512</v>
      </c>
      <c r="D1329" s="331">
        <v>21751803451</v>
      </c>
      <c r="E1329" s="331">
        <v>464759645</v>
      </c>
      <c r="F1329" s="331">
        <v>273027</v>
      </c>
      <c r="G1329" s="370">
        <f t="shared" si="60"/>
        <v>5.6148700357104676E-6</v>
      </c>
      <c r="H1329" s="370">
        <f t="shared" si="61"/>
        <v>1.2551924745690366E-5</v>
      </c>
      <c r="I1329" s="331">
        <v>434771</v>
      </c>
      <c r="J1329" s="331">
        <v>0</v>
      </c>
      <c r="K1329" s="331">
        <f t="shared" si="62"/>
        <v>434771</v>
      </c>
      <c r="L1329" s="199">
        <v>2.1</v>
      </c>
      <c r="M1329" s="199">
        <v>0.99</v>
      </c>
    </row>
    <row r="1330" spans="1:13" ht="15" customHeight="1" x14ac:dyDescent="0.25">
      <c r="A1330" s="49">
        <v>2012</v>
      </c>
      <c r="B1330" s="330" t="s">
        <v>38</v>
      </c>
      <c r="C1330" s="331">
        <v>51894367546</v>
      </c>
      <c r="D1330" s="331">
        <v>23115520072</v>
      </c>
      <c r="E1330" s="331">
        <v>573382665</v>
      </c>
      <c r="F1330" s="331">
        <v>252862</v>
      </c>
      <c r="G1330" s="370">
        <f t="shared" si="60"/>
        <v>4.8726289953501998E-6</v>
      </c>
      <c r="H1330" s="370">
        <f t="shared" si="61"/>
        <v>1.0939057361131735E-5</v>
      </c>
      <c r="I1330" s="331">
        <v>746598</v>
      </c>
      <c r="J1330" s="331">
        <v>0</v>
      </c>
      <c r="K1330" s="331">
        <f t="shared" si="62"/>
        <v>746598</v>
      </c>
      <c r="L1330" s="199">
        <v>2.48</v>
      </c>
      <c r="M1330" s="199">
        <v>0.99</v>
      </c>
    </row>
    <row r="1331" spans="1:13" x14ac:dyDescent="0.25">
      <c r="A1331" s="49">
        <v>2013</v>
      </c>
      <c r="B1331" s="330" t="s">
        <v>38</v>
      </c>
      <c r="C1331" s="331">
        <v>54121413550</v>
      </c>
      <c r="D1331" s="331">
        <v>24582311192</v>
      </c>
      <c r="E1331" s="331">
        <v>546864694</v>
      </c>
      <c r="F1331" s="331">
        <v>246034</v>
      </c>
      <c r="G1331" s="370">
        <f t="shared" si="60"/>
        <v>4.5459640438382453E-6</v>
      </c>
      <c r="H1331" s="370">
        <f t="shared" si="61"/>
        <v>1.0008578854866529E-5</v>
      </c>
      <c r="I1331" s="331">
        <v>1067524</v>
      </c>
      <c r="J1331" s="331">
        <v>0</v>
      </c>
      <c r="K1331" s="331">
        <f t="shared" si="62"/>
        <v>1067524</v>
      </c>
      <c r="L1331" s="199">
        <v>2.2200000000000002</v>
      </c>
      <c r="M1331" s="199">
        <v>0.99</v>
      </c>
    </row>
    <row r="1332" spans="1:13" ht="15" customHeight="1" x14ac:dyDescent="0.25">
      <c r="A1332" s="49">
        <v>2014</v>
      </c>
      <c r="B1332" s="330" t="s">
        <v>38</v>
      </c>
      <c r="C1332" s="331">
        <v>56846704323</v>
      </c>
      <c r="D1332" s="331">
        <v>24182674107</v>
      </c>
      <c r="E1332" s="331">
        <v>344303745</v>
      </c>
      <c r="F1332" s="331">
        <v>218681</v>
      </c>
      <c r="G1332" s="370">
        <f t="shared" si="60"/>
        <v>3.8468544941051641E-6</v>
      </c>
      <c r="H1332" s="370">
        <f t="shared" si="61"/>
        <v>9.042879171774467E-6</v>
      </c>
      <c r="I1332" s="331">
        <v>1230268</v>
      </c>
      <c r="J1332" s="331">
        <v>0</v>
      </c>
      <c r="K1332" s="331">
        <f t="shared" si="62"/>
        <v>1230268</v>
      </c>
      <c r="L1332" s="333">
        <v>1.4237620846916044</v>
      </c>
      <c r="M1332" s="199">
        <v>0.99</v>
      </c>
    </row>
    <row r="1333" spans="1:13" ht="15" customHeight="1" x14ac:dyDescent="0.25">
      <c r="A1333" s="49">
        <v>2015</v>
      </c>
      <c r="B1333" s="330" t="s">
        <v>38</v>
      </c>
      <c r="C1333" s="334">
        <v>57927289000</v>
      </c>
      <c r="D1333" s="334">
        <v>22833995000</v>
      </c>
      <c r="E1333" s="334">
        <v>227201000</v>
      </c>
      <c r="F1333" s="331">
        <v>330259</v>
      </c>
      <c r="G1333" s="370">
        <f t="shared" si="60"/>
        <v>5.7012680154943899E-6</v>
      </c>
      <c r="H1333" s="370">
        <f t="shared" si="61"/>
        <v>1.4463478686055594E-5</v>
      </c>
      <c r="I1333" s="331">
        <v>1153136</v>
      </c>
      <c r="J1333" s="199">
        <v>0</v>
      </c>
      <c r="K1333" s="331">
        <f t="shared" si="62"/>
        <v>1153136</v>
      </c>
      <c r="L1333" s="199">
        <v>0.9</v>
      </c>
      <c r="M1333" s="199">
        <v>0.98</v>
      </c>
    </row>
    <row r="1334" spans="1:13" ht="15" customHeight="1" x14ac:dyDescent="0.25">
      <c r="A1334" s="49">
        <v>1980</v>
      </c>
      <c r="B1334" s="330" t="s">
        <v>39</v>
      </c>
      <c r="C1334" s="331">
        <v>11365564185</v>
      </c>
      <c r="D1334" s="331">
        <v>6929474575</v>
      </c>
      <c r="E1334" s="331">
        <v>205729823</v>
      </c>
      <c r="F1334" s="331">
        <v>202748</v>
      </c>
      <c r="G1334" s="370">
        <f t="shared" si="60"/>
        <v>1.7838797678656548E-5</v>
      </c>
      <c r="H1334" s="370">
        <f t="shared" si="61"/>
        <v>2.9258784025482913E-5</v>
      </c>
      <c r="I1334" s="331">
        <v>353796</v>
      </c>
      <c r="J1334" s="331">
        <v>0</v>
      </c>
      <c r="K1334" s="331">
        <f t="shared" si="62"/>
        <v>353796</v>
      </c>
      <c r="L1334" s="199">
        <v>2.97</v>
      </c>
      <c r="M1334" s="199">
        <v>2.1800000000000002</v>
      </c>
    </row>
    <row r="1335" spans="1:13" ht="15" customHeight="1" x14ac:dyDescent="0.25">
      <c r="A1335" s="49">
        <v>1981</v>
      </c>
      <c r="B1335" s="330" t="s">
        <v>39</v>
      </c>
      <c r="C1335" s="331">
        <v>11724762249</v>
      </c>
      <c r="D1335" s="331">
        <v>6843135958</v>
      </c>
      <c r="E1335" s="331">
        <v>201472559</v>
      </c>
      <c r="F1335" s="331">
        <v>242462</v>
      </c>
      <c r="G1335" s="370">
        <f t="shared" si="60"/>
        <v>2.0679481157127897E-5</v>
      </c>
      <c r="H1335" s="370">
        <f t="shared" si="61"/>
        <v>3.543141645703366E-5</v>
      </c>
      <c r="I1335" s="331">
        <v>331112</v>
      </c>
      <c r="J1335" s="331">
        <v>0</v>
      </c>
      <c r="K1335" s="331">
        <f t="shared" si="62"/>
        <v>331112</v>
      </c>
      <c r="L1335" s="199">
        <v>2.94</v>
      </c>
      <c r="M1335" s="199">
        <v>2.21</v>
      </c>
    </row>
    <row r="1336" spans="1:13" ht="15" customHeight="1" x14ac:dyDescent="0.25">
      <c r="A1336" s="49">
        <v>1982</v>
      </c>
      <c r="B1336" s="330" t="s">
        <v>39</v>
      </c>
      <c r="C1336" s="331">
        <v>11425098654</v>
      </c>
      <c r="D1336" s="331">
        <v>6795816272</v>
      </c>
      <c r="E1336" s="331">
        <v>194005900</v>
      </c>
      <c r="F1336" s="331">
        <v>335596</v>
      </c>
      <c r="G1336" s="370">
        <f t="shared" si="60"/>
        <v>2.9373575683086614E-5</v>
      </c>
      <c r="H1336" s="370">
        <f t="shared" si="61"/>
        <v>4.9382735872762867E-5</v>
      </c>
      <c r="I1336" s="331">
        <v>160561</v>
      </c>
      <c r="J1336" s="331">
        <v>0</v>
      </c>
      <c r="K1336" s="331">
        <f t="shared" si="62"/>
        <v>160561</v>
      </c>
      <c r="L1336" s="199">
        <v>2.85</v>
      </c>
      <c r="M1336" s="199">
        <v>2.65</v>
      </c>
    </row>
    <row r="1337" spans="1:13" ht="15" customHeight="1" x14ac:dyDescent="0.25">
      <c r="A1337" s="49">
        <v>1983</v>
      </c>
      <c r="B1337" s="330" t="s">
        <v>39</v>
      </c>
      <c r="C1337" s="331">
        <v>11939400477</v>
      </c>
      <c r="D1337" s="331">
        <v>7299423812</v>
      </c>
      <c r="E1337" s="331">
        <v>225091956</v>
      </c>
      <c r="F1337" s="331">
        <v>246937</v>
      </c>
      <c r="G1337" s="370">
        <f t="shared" si="60"/>
        <v>2.0682529284087437E-5</v>
      </c>
      <c r="H1337" s="370">
        <f t="shared" si="61"/>
        <v>3.382965647152096E-5</v>
      </c>
      <c r="I1337" s="331">
        <v>131929</v>
      </c>
      <c r="J1337" s="331">
        <v>0</v>
      </c>
      <c r="K1337" s="331">
        <f t="shared" si="62"/>
        <v>131929</v>
      </c>
      <c r="L1337" s="199">
        <v>3.08</v>
      </c>
      <c r="M1337" s="199">
        <v>2.65</v>
      </c>
    </row>
    <row r="1338" spans="1:13" ht="15" customHeight="1" x14ac:dyDescent="0.25">
      <c r="A1338" s="49">
        <v>1984</v>
      </c>
      <c r="B1338" s="330" t="s">
        <v>39</v>
      </c>
      <c r="C1338" s="331">
        <v>13050348052</v>
      </c>
      <c r="D1338" s="331">
        <v>8136918075</v>
      </c>
      <c r="E1338" s="331">
        <v>253012228</v>
      </c>
      <c r="F1338" s="331">
        <v>195465</v>
      </c>
      <c r="G1338" s="370">
        <f t="shared" si="60"/>
        <v>1.4977761452886651E-5</v>
      </c>
      <c r="H1338" s="370">
        <f t="shared" si="61"/>
        <v>2.4021994347042753E-5</v>
      </c>
      <c r="I1338" s="331">
        <v>207350</v>
      </c>
      <c r="J1338" s="331">
        <v>0</v>
      </c>
      <c r="K1338" s="331">
        <f t="shared" si="62"/>
        <v>207350</v>
      </c>
      <c r="L1338" s="199">
        <v>3.11</v>
      </c>
      <c r="M1338" s="199">
        <v>2.65</v>
      </c>
    </row>
    <row r="1339" spans="1:13" ht="15" customHeight="1" x14ac:dyDescent="0.25">
      <c r="A1339" s="49">
        <v>1985</v>
      </c>
      <c r="B1339" s="330" t="s">
        <v>39</v>
      </c>
      <c r="C1339" s="331">
        <v>13675070594</v>
      </c>
      <c r="D1339" s="331">
        <v>8412642816</v>
      </c>
      <c r="E1339" s="331">
        <v>262972136</v>
      </c>
      <c r="F1339" s="331">
        <v>238139</v>
      </c>
      <c r="G1339" s="370">
        <f t="shared" si="60"/>
        <v>1.7414096575449094E-5</v>
      </c>
      <c r="H1339" s="370">
        <f t="shared" si="61"/>
        <v>2.830727575252376E-5</v>
      </c>
      <c r="I1339" s="331">
        <v>254714</v>
      </c>
      <c r="J1339" s="331">
        <v>0</v>
      </c>
      <c r="K1339" s="331">
        <f t="shared" si="62"/>
        <v>254714</v>
      </c>
      <c r="L1339" s="199">
        <v>3.13</v>
      </c>
      <c r="M1339" s="199">
        <v>2.65</v>
      </c>
    </row>
    <row r="1340" spans="1:13" ht="15" customHeight="1" x14ac:dyDescent="0.25">
      <c r="A1340" s="49">
        <v>1986</v>
      </c>
      <c r="B1340" s="330" t="s">
        <v>39</v>
      </c>
      <c r="C1340" s="331">
        <v>14442178817</v>
      </c>
      <c r="D1340" s="331">
        <v>9089803555</v>
      </c>
      <c r="E1340" s="331">
        <v>282456760</v>
      </c>
      <c r="F1340" s="331">
        <v>304563</v>
      </c>
      <c r="G1340" s="370">
        <f t="shared" si="60"/>
        <v>2.1088438514657951E-5</v>
      </c>
      <c r="H1340" s="370">
        <f t="shared" si="61"/>
        <v>3.3506004630041753E-5</v>
      </c>
      <c r="I1340" s="331">
        <v>315523</v>
      </c>
      <c r="J1340" s="331">
        <v>0</v>
      </c>
      <c r="K1340" s="331">
        <f t="shared" si="62"/>
        <v>315523</v>
      </c>
      <c r="L1340" s="199">
        <v>3.11</v>
      </c>
      <c r="M1340" s="199">
        <v>2.65</v>
      </c>
    </row>
    <row r="1341" spans="1:13" ht="15" customHeight="1" x14ac:dyDescent="0.25">
      <c r="A1341" s="49">
        <v>1987</v>
      </c>
      <c r="B1341" s="330" t="s">
        <v>39</v>
      </c>
      <c r="C1341" s="331">
        <v>15494701212</v>
      </c>
      <c r="D1341" s="331">
        <v>9501834819</v>
      </c>
      <c r="E1341" s="331">
        <v>295597492</v>
      </c>
      <c r="F1341" s="331">
        <v>206146</v>
      </c>
      <c r="G1341" s="370">
        <f t="shared" si="60"/>
        <v>1.3304290104048506E-5</v>
      </c>
      <c r="H1341" s="370">
        <f t="shared" si="61"/>
        <v>2.1695388725111031E-5</v>
      </c>
      <c r="I1341" s="331">
        <v>427346</v>
      </c>
      <c r="J1341" s="331">
        <v>0</v>
      </c>
      <c r="K1341" s="331">
        <f t="shared" si="62"/>
        <v>427346</v>
      </c>
      <c r="L1341" s="199">
        <v>3.11</v>
      </c>
      <c r="M1341" s="199">
        <v>2.65</v>
      </c>
    </row>
    <row r="1342" spans="1:13" ht="15" customHeight="1" x14ac:dyDescent="0.25">
      <c r="A1342" s="49">
        <v>1988</v>
      </c>
      <c r="B1342" s="330" t="s">
        <v>39</v>
      </c>
      <c r="C1342" s="331">
        <v>17107496829</v>
      </c>
      <c r="D1342" s="331">
        <v>10205445316</v>
      </c>
      <c r="E1342" s="331">
        <v>317326429</v>
      </c>
      <c r="F1342" s="331">
        <v>183374</v>
      </c>
      <c r="G1342" s="370">
        <f t="shared" si="60"/>
        <v>1.0718926435172627E-5</v>
      </c>
      <c r="H1342" s="370">
        <f t="shared" si="61"/>
        <v>1.7968250705582438E-5</v>
      </c>
      <c r="I1342" s="331">
        <v>589096</v>
      </c>
      <c r="J1342" s="331">
        <v>0</v>
      </c>
      <c r="K1342" s="331">
        <f t="shared" si="62"/>
        <v>589096</v>
      </c>
      <c r="L1342" s="199">
        <v>3.11</v>
      </c>
      <c r="M1342" s="199">
        <v>2.65</v>
      </c>
    </row>
    <row r="1343" spans="1:13" ht="15" customHeight="1" x14ac:dyDescent="0.25">
      <c r="A1343" s="49">
        <v>1989</v>
      </c>
      <c r="B1343" s="330" t="s">
        <v>39</v>
      </c>
      <c r="C1343" s="331">
        <v>18602441397</v>
      </c>
      <c r="D1343" s="331">
        <v>11331919978</v>
      </c>
      <c r="E1343" s="331">
        <v>351775305</v>
      </c>
      <c r="F1343" s="331">
        <v>192843</v>
      </c>
      <c r="G1343" s="370">
        <f t="shared" si="60"/>
        <v>1.0366542535169585E-5</v>
      </c>
      <c r="H1343" s="370">
        <f t="shared" si="61"/>
        <v>1.7017681061496109E-5</v>
      </c>
      <c r="I1343" s="331">
        <v>803653</v>
      </c>
      <c r="J1343" s="331">
        <v>0</v>
      </c>
      <c r="K1343" s="331">
        <f t="shared" si="62"/>
        <v>803653</v>
      </c>
      <c r="L1343" s="199">
        <v>3.1</v>
      </c>
      <c r="M1343" s="199">
        <v>2.65</v>
      </c>
    </row>
    <row r="1344" spans="1:13" ht="15" customHeight="1" x14ac:dyDescent="0.25">
      <c r="A1344" s="49">
        <v>1990</v>
      </c>
      <c r="B1344" s="330" t="s">
        <v>39</v>
      </c>
      <c r="C1344" s="331">
        <v>20237683634</v>
      </c>
      <c r="D1344" s="331">
        <v>12524510093</v>
      </c>
      <c r="E1344" s="331">
        <v>347788612</v>
      </c>
      <c r="F1344" s="331">
        <v>240119</v>
      </c>
      <c r="G1344" s="370">
        <f t="shared" si="60"/>
        <v>1.1864944839664944E-5</v>
      </c>
      <c r="H1344" s="370">
        <f t="shared" si="61"/>
        <v>1.9171927541836825E-5</v>
      </c>
      <c r="I1344" s="331">
        <v>991729</v>
      </c>
      <c r="J1344" s="331">
        <v>0</v>
      </c>
      <c r="K1344" s="331">
        <f t="shared" si="62"/>
        <v>991729</v>
      </c>
      <c r="L1344" s="199">
        <v>2.78</v>
      </c>
      <c r="M1344" s="199">
        <v>2.65</v>
      </c>
    </row>
    <row r="1345" spans="1:13" ht="15" customHeight="1" x14ac:dyDescent="0.25">
      <c r="A1345" s="49">
        <v>1991</v>
      </c>
      <c r="B1345" s="330" t="s">
        <v>39</v>
      </c>
      <c r="C1345" s="331">
        <v>20976848243</v>
      </c>
      <c r="D1345" s="331">
        <v>12716439448</v>
      </c>
      <c r="E1345" s="331">
        <v>333153790</v>
      </c>
      <c r="F1345" s="331">
        <v>346176</v>
      </c>
      <c r="G1345" s="370">
        <f t="shared" si="60"/>
        <v>1.6502765143258325E-5</v>
      </c>
      <c r="H1345" s="370">
        <f t="shared" si="61"/>
        <v>2.7222714456792811E-5</v>
      </c>
      <c r="I1345" s="331">
        <v>1043810</v>
      </c>
      <c r="J1345" s="331">
        <v>0</v>
      </c>
      <c r="K1345" s="331">
        <f t="shared" si="62"/>
        <v>1043810</v>
      </c>
      <c r="L1345" s="199">
        <v>2.62</v>
      </c>
      <c r="M1345" s="199">
        <v>2.65</v>
      </c>
    </row>
    <row r="1346" spans="1:13" ht="15" customHeight="1" x14ac:dyDescent="0.25">
      <c r="A1346" s="49">
        <v>1992</v>
      </c>
      <c r="B1346" s="330" t="s">
        <v>39</v>
      </c>
      <c r="C1346" s="331">
        <v>22410082423</v>
      </c>
      <c r="D1346" s="331">
        <v>13558399538</v>
      </c>
      <c r="E1346" s="331">
        <v>356450437</v>
      </c>
      <c r="F1346" s="331">
        <v>357339</v>
      </c>
      <c r="G1346" s="370">
        <f t="shared" ref="G1346:G1409" si="63">F1346/C1346</f>
        <v>1.5945456748220369E-5</v>
      </c>
      <c r="H1346" s="370">
        <f t="shared" ref="H1346:H1409" si="64">F1346/D1346</f>
        <v>2.6355544325013385E-5</v>
      </c>
      <c r="I1346" s="331">
        <v>1054524</v>
      </c>
      <c r="J1346" s="331">
        <v>0</v>
      </c>
      <c r="K1346" s="331">
        <f t="shared" ref="K1346:K1409" si="65">I1346-J1346</f>
        <v>1054524</v>
      </c>
      <c r="L1346" s="199">
        <v>2.63</v>
      </c>
      <c r="M1346" s="199">
        <v>2.65</v>
      </c>
    </row>
    <row r="1347" spans="1:13" ht="15" customHeight="1" x14ac:dyDescent="0.25">
      <c r="A1347" s="49">
        <v>1993</v>
      </c>
      <c r="B1347" s="330" t="s">
        <v>39</v>
      </c>
      <c r="C1347" s="331">
        <v>23709738978</v>
      </c>
      <c r="D1347" s="331">
        <v>14598474084</v>
      </c>
      <c r="E1347" s="331">
        <v>383049503</v>
      </c>
      <c r="F1347" s="331">
        <v>327914</v>
      </c>
      <c r="G1347" s="370">
        <f t="shared" si="63"/>
        <v>1.3830350486113225E-5</v>
      </c>
      <c r="H1347" s="370">
        <f t="shared" si="64"/>
        <v>2.2462210647028882E-5</v>
      </c>
      <c r="I1347" s="331">
        <v>1096695</v>
      </c>
      <c r="J1347" s="331">
        <v>0</v>
      </c>
      <c r="K1347" s="331">
        <f t="shared" si="65"/>
        <v>1096695</v>
      </c>
      <c r="L1347" s="199">
        <v>2.62</v>
      </c>
      <c r="M1347" s="199">
        <v>2.65</v>
      </c>
    </row>
    <row r="1348" spans="1:13" ht="15" customHeight="1" x14ac:dyDescent="0.25">
      <c r="A1348" s="49">
        <v>1994</v>
      </c>
      <c r="B1348" s="330" t="s">
        <v>39</v>
      </c>
      <c r="C1348" s="331">
        <v>25758773803</v>
      </c>
      <c r="D1348" s="331">
        <v>16074831100</v>
      </c>
      <c r="E1348" s="331">
        <v>248009885</v>
      </c>
      <c r="F1348" s="331">
        <v>329812</v>
      </c>
      <c r="G1348" s="370">
        <f t="shared" si="63"/>
        <v>1.2803870344231541E-5</v>
      </c>
      <c r="H1348" s="370">
        <f t="shared" si="64"/>
        <v>2.0517291780440541E-5</v>
      </c>
      <c r="I1348" s="331">
        <v>994533</v>
      </c>
      <c r="J1348" s="331">
        <v>0</v>
      </c>
      <c r="K1348" s="331">
        <f t="shared" si="65"/>
        <v>994533</v>
      </c>
      <c r="L1348" s="199">
        <v>1.54</v>
      </c>
      <c r="M1348" s="199">
        <v>2.65</v>
      </c>
    </row>
    <row r="1349" spans="1:13" ht="15" customHeight="1" x14ac:dyDescent="0.25">
      <c r="A1349" s="49">
        <v>1995</v>
      </c>
      <c r="B1349" s="330" t="s">
        <v>39</v>
      </c>
      <c r="C1349" s="331">
        <v>28230613718</v>
      </c>
      <c r="D1349" s="331">
        <v>17119338241</v>
      </c>
      <c r="E1349" s="331">
        <v>240670302</v>
      </c>
      <c r="F1349" s="331">
        <v>339991</v>
      </c>
      <c r="G1349" s="370">
        <f t="shared" si="63"/>
        <v>1.2043344271443161E-5</v>
      </c>
      <c r="H1349" s="370">
        <f t="shared" si="64"/>
        <v>1.9860055056669055E-5</v>
      </c>
      <c r="I1349" s="331">
        <v>905985</v>
      </c>
      <c r="J1349" s="331">
        <v>0</v>
      </c>
      <c r="K1349" s="331">
        <f t="shared" si="65"/>
        <v>905985</v>
      </c>
      <c r="L1349" s="199">
        <v>1.41</v>
      </c>
      <c r="M1349" s="199">
        <v>2.52</v>
      </c>
    </row>
    <row r="1350" spans="1:13" ht="15" customHeight="1" x14ac:dyDescent="0.25">
      <c r="A1350" s="49">
        <v>1996</v>
      </c>
      <c r="B1350" s="330" t="s">
        <v>39</v>
      </c>
      <c r="C1350" s="331">
        <v>31036937598</v>
      </c>
      <c r="D1350" s="331">
        <v>18854557099</v>
      </c>
      <c r="E1350" s="331">
        <v>396564452</v>
      </c>
      <c r="F1350" s="331">
        <v>367261</v>
      </c>
      <c r="G1350" s="370">
        <f t="shared" si="63"/>
        <v>1.1833029558420934E-5</v>
      </c>
      <c r="H1350" s="370">
        <f t="shared" si="64"/>
        <v>1.9478633100295877E-5</v>
      </c>
      <c r="I1350" s="331">
        <v>941419</v>
      </c>
      <c r="J1350" s="331">
        <v>0</v>
      </c>
      <c r="K1350" s="331">
        <f t="shared" si="65"/>
        <v>941419</v>
      </c>
      <c r="L1350" s="199">
        <v>2.1</v>
      </c>
      <c r="M1350" s="199">
        <v>2.52</v>
      </c>
    </row>
    <row r="1351" spans="1:13" ht="15" customHeight="1" x14ac:dyDescent="0.25">
      <c r="A1351" s="49">
        <v>1997</v>
      </c>
      <c r="B1351" s="330" t="s">
        <v>39</v>
      </c>
      <c r="C1351" s="331">
        <v>34043321397</v>
      </c>
      <c r="D1351" s="331">
        <v>20124570886</v>
      </c>
      <c r="E1351" s="331">
        <v>419949788</v>
      </c>
      <c r="F1351" s="331">
        <v>339106</v>
      </c>
      <c r="G1351" s="370">
        <f t="shared" si="63"/>
        <v>9.9610139693914548E-6</v>
      </c>
      <c r="H1351" s="370">
        <f t="shared" si="64"/>
        <v>1.6850346868061912E-5</v>
      </c>
      <c r="I1351" s="331">
        <v>1068843</v>
      </c>
      <c r="J1351" s="331">
        <v>0</v>
      </c>
      <c r="K1351" s="331">
        <f t="shared" si="65"/>
        <v>1068843</v>
      </c>
      <c r="L1351" s="199">
        <v>2.09</v>
      </c>
      <c r="M1351" s="199">
        <v>2.52</v>
      </c>
    </row>
    <row r="1352" spans="1:13" ht="15" customHeight="1" x14ac:dyDescent="0.25">
      <c r="A1352" s="49">
        <v>1998</v>
      </c>
      <c r="B1352" s="330" t="s">
        <v>39</v>
      </c>
      <c r="C1352" s="331">
        <v>36107558506</v>
      </c>
      <c r="D1352" s="331">
        <v>21450432003</v>
      </c>
      <c r="E1352" s="331">
        <v>446005034</v>
      </c>
      <c r="F1352" s="331">
        <v>399048</v>
      </c>
      <c r="G1352" s="370">
        <f t="shared" si="63"/>
        <v>1.1051647259221089E-5</v>
      </c>
      <c r="H1352" s="370">
        <f t="shared" si="64"/>
        <v>1.8603261693945849E-5</v>
      </c>
      <c r="I1352" s="331">
        <v>1216565</v>
      </c>
      <c r="J1352" s="331">
        <v>0</v>
      </c>
      <c r="K1352" s="331">
        <f t="shared" si="65"/>
        <v>1216565</v>
      </c>
      <c r="L1352" s="199">
        <v>2.08</v>
      </c>
      <c r="M1352" s="199">
        <v>2.52</v>
      </c>
    </row>
    <row r="1353" spans="1:13" ht="15" customHeight="1" x14ac:dyDescent="0.25">
      <c r="A1353" s="49">
        <v>1999</v>
      </c>
      <c r="B1353" s="330" t="s">
        <v>39</v>
      </c>
      <c r="C1353" s="331">
        <v>38364643151</v>
      </c>
      <c r="D1353" s="331">
        <v>23317870202</v>
      </c>
      <c r="E1353" s="331">
        <v>483637168</v>
      </c>
      <c r="F1353" s="331">
        <v>402954</v>
      </c>
      <c r="G1353" s="370">
        <f t="shared" si="63"/>
        <v>1.0503264644323865E-5</v>
      </c>
      <c r="H1353" s="370">
        <f t="shared" si="64"/>
        <v>1.7280909298716235E-5</v>
      </c>
      <c r="I1353" s="331">
        <v>1363909</v>
      </c>
      <c r="J1353" s="331">
        <v>0</v>
      </c>
      <c r="K1353" s="331">
        <f t="shared" si="65"/>
        <v>1363909</v>
      </c>
      <c r="L1353" s="199">
        <v>2.0699999999999998</v>
      </c>
      <c r="M1353" s="199">
        <v>2.52</v>
      </c>
    </row>
    <row r="1354" spans="1:13" ht="15" customHeight="1" x14ac:dyDescent="0.25">
      <c r="A1354" s="49">
        <v>2000</v>
      </c>
      <c r="B1354" s="330" t="s">
        <v>39</v>
      </c>
      <c r="C1354" s="331">
        <v>41685117073</v>
      </c>
      <c r="D1354" s="331">
        <v>24353564629</v>
      </c>
      <c r="E1354" s="331">
        <v>505497855</v>
      </c>
      <c r="F1354" s="331">
        <v>405748</v>
      </c>
      <c r="G1354" s="370">
        <f t="shared" si="63"/>
        <v>9.7336418484670231E-6</v>
      </c>
      <c r="H1354" s="370">
        <f t="shared" si="64"/>
        <v>1.6660723232148079E-5</v>
      </c>
      <c r="I1354" s="331">
        <v>1558005</v>
      </c>
      <c r="J1354" s="331">
        <v>0</v>
      </c>
      <c r="K1354" s="331">
        <f t="shared" si="65"/>
        <v>1558005</v>
      </c>
      <c r="L1354" s="199">
        <v>2.08</v>
      </c>
      <c r="M1354" s="199">
        <v>2.52</v>
      </c>
    </row>
    <row r="1355" spans="1:13" ht="15" customHeight="1" x14ac:dyDescent="0.25">
      <c r="A1355" s="49">
        <v>2001</v>
      </c>
      <c r="B1355" s="330" t="s">
        <v>39</v>
      </c>
      <c r="C1355" s="331">
        <v>41224769102</v>
      </c>
      <c r="D1355" s="331">
        <v>25156208135</v>
      </c>
      <c r="E1355" s="331">
        <v>436700764</v>
      </c>
      <c r="F1355" s="331">
        <v>649716</v>
      </c>
      <c r="G1355" s="370">
        <f t="shared" si="63"/>
        <v>1.5760330843635441E-5</v>
      </c>
      <c r="H1355" s="370">
        <f t="shared" si="64"/>
        <v>2.5827262857475161E-5</v>
      </c>
      <c r="I1355" s="331">
        <v>1467693</v>
      </c>
      <c r="J1355" s="331">
        <v>0</v>
      </c>
      <c r="K1355" s="331">
        <f t="shared" si="65"/>
        <v>1467693</v>
      </c>
      <c r="L1355" s="199">
        <v>1.74</v>
      </c>
      <c r="M1355" s="199">
        <v>2.52</v>
      </c>
    </row>
    <row r="1356" spans="1:13" ht="15" customHeight="1" x14ac:dyDescent="0.25">
      <c r="A1356" s="49">
        <v>2002</v>
      </c>
      <c r="B1356" s="330" t="s">
        <v>39</v>
      </c>
      <c r="C1356" s="331">
        <v>40541832593</v>
      </c>
      <c r="D1356" s="331">
        <v>24642393321</v>
      </c>
      <c r="E1356" s="331">
        <v>464747694</v>
      </c>
      <c r="F1356" s="331">
        <v>826040</v>
      </c>
      <c r="G1356" s="370">
        <f t="shared" si="63"/>
        <v>2.0375003969174917E-5</v>
      </c>
      <c r="H1356" s="370">
        <f t="shared" si="64"/>
        <v>3.3521094693998614E-5</v>
      </c>
      <c r="I1356" s="331">
        <v>1282561</v>
      </c>
      <c r="J1356" s="331">
        <v>0</v>
      </c>
      <c r="K1356" s="331">
        <f t="shared" si="65"/>
        <v>1282561</v>
      </c>
      <c r="L1356" s="199">
        <v>1.89</v>
      </c>
      <c r="M1356" s="199">
        <v>2.52</v>
      </c>
    </row>
    <row r="1357" spans="1:13" ht="15" customHeight="1" x14ac:dyDescent="0.25">
      <c r="A1357" s="49">
        <v>2003</v>
      </c>
      <c r="B1357" s="330" t="s">
        <v>39</v>
      </c>
      <c r="C1357" s="331">
        <v>41128695953</v>
      </c>
      <c r="D1357" s="331">
        <v>25046642332</v>
      </c>
      <c r="E1357" s="331">
        <v>562953745</v>
      </c>
      <c r="F1357" s="331">
        <v>795662</v>
      </c>
      <c r="G1357" s="370">
        <f t="shared" si="63"/>
        <v>1.9345665637180576E-5</v>
      </c>
      <c r="H1357" s="370">
        <f t="shared" si="64"/>
        <v>3.1767212125812537E-5</v>
      </c>
      <c r="I1357" s="331">
        <v>1017200</v>
      </c>
      <c r="J1357" s="331">
        <v>0</v>
      </c>
      <c r="K1357" s="331">
        <f t="shared" si="65"/>
        <v>1017200</v>
      </c>
      <c r="L1357" s="199">
        <v>2.25</v>
      </c>
      <c r="M1357" s="199">
        <v>2.52</v>
      </c>
    </row>
    <row r="1358" spans="1:13" ht="15" customHeight="1" x14ac:dyDescent="0.25">
      <c r="A1358" s="49">
        <v>2004</v>
      </c>
      <c r="B1358" s="330" t="s">
        <v>39</v>
      </c>
      <c r="C1358" s="331">
        <v>43572679306</v>
      </c>
      <c r="D1358" s="331">
        <v>26439856378</v>
      </c>
      <c r="E1358" s="331">
        <v>731198269</v>
      </c>
      <c r="F1358" s="331">
        <v>601183</v>
      </c>
      <c r="G1358" s="370">
        <f t="shared" si="63"/>
        <v>1.3797246567695379E-5</v>
      </c>
      <c r="H1358" s="370">
        <f t="shared" si="64"/>
        <v>2.2737755886610285E-5</v>
      </c>
      <c r="I1358" s="331">
        <v>1152199</v>
      </c>
      <c r="J1358" s="331">
        <v>0</v>
      </c>
      <c r="K1358" s="331">
        <f t="shared" si="65"/>
        <v>1152199</v>
      </c>
      <c r="L1358" s="199">
        <v>2.77</v>
      </c>
      <c r="M1358" s="199">
        <v>2.52</v>
      </c>
    </row>
    <row r="1359" spans="1:13" ht="15" customHeight="1" x14ac:dyDescent="0.25">
      <c r="A1359" s="49">
        <v>2005</v>
      </c>
      <c r="B1359" s="330" t="s">
        <v>39</v>
      </c>
      <c r="C1359" s="331">
        <v>46499900258</v>
      </c>
      <c r="D1359" s="331">
        <v>27849747829</v>
      </c>
      <c r="E1359" s="331">
        <v>710190158</v>
      </c>
      <c r="F1359" s="331">
        <v>490273</v>
      </c>
      <c r="G1359" s="370">
        <f t="shared" si="63"/>
        <v>1.0543527992098258E-5</v>
      </c>
      <c r="H1359" s="370">
        <f t="shared" si="64"/>
        <v>1.7604216850016777E-5</v>
      </c>
      <c r="I1359" s="331">
        <v>1432450</v>
      </c>
      <c r="J1359" s="331">
        <v>0</v>
      </c>
      <c r="K1359" s="331">
        <f t="shared" si="65"/>
        <v>1432450</v>
      </c>
      <c r="L1359" s="199">
        <v>2.5499999999999998</v>
      </c>
      <c r="M1359" s="199">
        <v>2.52</v>
      </c>
    </row>
    <row r="1360" spans="1:13" ht="15" customHeight="1" x14ac:dyDescent="0.25">
      <c r="A1360" s="49">
        <v>2006</v>
      </c>
      <c r="B1360" s="330" t="s">
        <v>39</v>
      </c>
      <c r="C1360" s="331">
        <v>50009459308</v>
      </c>
      <c r="D1360" s="331">
        <v>29843436534</v>
      </c>
      <c r="E1360" s="331">
        <v>674536136</v>
      </c>
      <c r="F1360" s="331">
        <v>434856</v>
      </c>
      <c r="G1360" s="370">
        <f t="shared" si="63"/>
        <v>8.6954749364873893E-6</v>
      </c>
      <c r="H1360" s="370">
        <f t="shared" si="64"/>
        <v>1.4571244149599785E-5</v>
      </c>
      <c r="I1360" s="331">
        <v>1737203</v>
      </c>
      <c r="J1360" s="331">
        <v>0</v>
      </c>
      <c r="K1360" s="331">
        <f t="shared" si="65"/>
        <v>1737203</v>
      </c>
      <c r="L1360" s="199">
        <v>2.2599999999999998</v>
      </c>
      <c r="M1360" s="199">
        <v>2.52</v>
      </c>
    </row>
    <row r="1361" spans="1:13" ht="15" customHeight="1" x14ac:dyDescent="0.25">
      <c r="A1361" s="49">
        <v>2007</v>
      </c>
      <c r="B1361" s="330" t="s">
        <v>39</v>
      </c>
      <c r="C1361" s="331">
        <v>52733026125</v>
      </c>
      <c r="D1361" s="331">
        <v>31413402866</v>
      </c>
      <c r="E1361" s="331">
        <v>611154834</v>
      </c>
      <c r="F1361" s="331">
        <v>489896</v>
      </c>
      <c r="G1361" s="370">
        <f t="shared" si="63"/>
        <v>9.2901173325182461E-6</v>
      </c>
      <c r="H1361" s="370">
        <f t="shared" si="64"/>
        <v>1.5595126770880156E-5</v>
      </c>
      <c r="I1361" s="331">
        <v>1933225</v>
      </c>
      <c r="J1361" s="331">
        <v>0</v>
      </c>
      <c r="K1361" s="331">
        <f t="shared" si="65"/>
        <v>1933225</v>
      </c>
      <c r="L1361" s="199">
        <v>1.95</v>
      </c>
      <c r="M1361" s="199">
        <v>2.52</v>
      </c>
    </row>
    <row r="1362" spans="1:13" ht="15" customHeight="1" x14ac:dyDescent="0.25">
      <c r="A1362" s="49">
        <v>2008</v>
      </c>
      <c r="B1362" s="330" t="s">
        <v>39</v>
      </c>
      <c r="C1362" s="331">
        <v>52690198430</v>
      </c>
      <c r="D1362" s="331">
        <v>31764465584</v>
      </c>
      <c r="E1362" s="331">
        <v>536285170</v>
      </c>
      <c r="F1362" s="331">
        <v>784332</v>
      </c>
      <c r="G1362" s="370">
        <f t="shared" si="63"/>
        <v>1.4885728719393627E-5</v>
      </c>
      <c r="H1362" s="370">
        <f t="shared" si="64"/>
        <v>2.469212012794177E-5</v>
      </c>
      <c r="I1362" s="331">
        <v>1970663</v>
      </c>
      <c r="J1362" s="331">
        <v>0</v>
      </c>
      <c r="K1362" s="331">
        <f t="shared" si="65"/>
        <v>1970663</v>
      </c>
      <c r="L1362" s="199">
        <v>1.7</v>
      </c>
      <c r="M1362" s="199">
        <v>2.52</v>
      </c>
    </row>
    <row r="1363" spans="1:13" ht="15" customHeight="1" x14ac:dyDescent="0.25">
      <c r="A1363" s="49">
        <v>2009</v>
      </c>
      <c r="B1363" s="330" t="s">
        <v>39</v>
      </c>
      <c r="C1363" s="331">
        <v>48283745044</v>
      </c>
      <c r="D1363" s="331">
        <v>29544920206</v>
      </c>
      <c r="E1363" s="331">
        <v>564077294</v>
      </c>
      <c r="F1363" s="331">
        <v>1538668</v>
      </c>
      <c r="G1363" s="370">
        <f t="shared" si="63"/>
        <v>3.1867204969246754E-5</v>
      </c>
      <c r="H1363" s="370">
        <f t="shared" si="64"/>
        <v>5.2078935711172653E-5</v>
      </c>
      <c r="I1363" s="331">
        <v>1050277</v>
      </c>
      <c r="J1363" s="331">
        <v>0</v>
      </c>
      <c r="K1363" s="331">
        <f t="shared" si="65"/>
        <v>1050277</v>
      </c>
      <c r="L1363" s="199">
        <v>1.9</v>
      </c>
      <c r="M1363" s="199">
        <v>2.4500000000000002</v>
      </c>
    </row>
    <row r="1364" spans="1:13" ht="15" customHeight="1" x14ac:dyDescent="0.25">
      <c r="A1364" s="49">
        <v>2010</v>
      </c>
      <c r="B1364" s="330" t="s">
        <v>39</v>
      </c>
      <c r="C1364" s="331">
        <v>49005011032</v>
      </c>
      <c r="D1364" s="331">
        <v>29814835384</v>
      </c>
      <c r="E1364" s="331">
        <v>815835313</v>
      </c>
      <c r="F1364" s="331">
        <v>1023257</v>
      </c>
      <c r="G1364" s="370">
        <f t="shared" si="63"/>
        <v>2.0880660537589083E-5</v>
      </c>
      <c r="H1364" s="370">
        <f t="shared" si="64"/>
        <v>3.4320397440434177E-5</v>
      </c>
      <c r="I1364" s="331">
        <v>910585</v>
      </c>
      <c r="J1364" s="331">
        <v>0</v>
      </c>
      <c r="K1364" s="331">
        <f t="shared" si="65"/>
        <v>910585</v>
      </c>
      <c r="L1364" s="199">
        <v>2.7</v>
      </c>
      <c r="M1364" s="199">
        <v>2.48</v>
      </c>
    </row>
    <row r="1365" spans="1:13" ht="15" customHeight="1" x14ac:dyDescent="0.25">
      <c r="A1365" s="49">
        <v>2011</v>
      </c>
      <c r="B1365" s="330" t="s">
        <v>39</v>
      </c>
      <c r="C1365" s="331">
        <v>51609059928</v>
      </c>
      <c r="D1365" s="331">
        <v>30811287995</v>
      </c>
      <c r="E1365" s="331">
        <v>949567415</v>
      </c>
      <c r="F1365" s="331">
        <v>805982</v>
      </c>
      <c r="G1365" s="370">
        <f t="shared" si="63"/>
        <v>1.5617064157425628E-5</v>
      </c>
      <c r="H1365" s="370">
        <f t="shared" si="64"/>
        <v>2.615865977854588E-5</v>
      </c>
      <c r="I1365" s="331">
        <v>1087941</v>
      </c>
      <c r="J1365" s="331">
        <v>0</v>
      </c>
      <c r="K1365" s="331">
        <f t="shared" si="65"/>
        <v>1087941</v>
      </c>
      <c r="L1365" s="199">
        <v>3.1</v>
      </c>
      <c r="M1365" s="199">
        <v>2.48</v>
      </c>
    </row>
    <row r="1366" spans="1:13" x14ac:dyDescent="0.25">
      <c r="A1366" s="49">
        <v>2012</v>
      </c>
      <c r="B1366" s="330" t="s">
        <v>39</v>
      </c>
      <c r="C1366" s="331">
        <v>54319631254</v>
      </c>
      <c r="D1366" s="331">
        <v>32233370146</v>
      </c>
      <c r="E1366" s="331">
        <v>993276523</v>
      </c>
      <c r="F1366" s="331">
        <v>699546</v>
      </c>
      <c r="G1366" s="370">
        <f t="shared" si="63"/>
        <v>1.2878327482174995E-5</v>
      </c>
      <c r="H1366" s="370">
        <f t="shared" si="64"/>
        <v>2.1702539847103459E-5</v>
      </c>
      <c r="I1366" s="331">
        <v>1392196</v>
      </c>
      <c r="J1366" s="331">
        <v>0</v>
      </c>
      <c r="K1366" s="331">
        <f t="shared" si="65"/>
        <v>1392196</v>
      </c>
      <c r="L1366" s="199">
        <v>3.08</v>
      </c>
      <c r="M1366" s="199">
        <v>2.48</v>
      </c>
    </row>
    <row r="1367" spans="1:13" ht="15" customHeight="1" x14ac:dyDescent="0.25">
      <c r="A1367" s="49">
        <v>2013</v>
      </c>
      <c r="B1367" s="330" t="s">
        <v>39</v>
      </c>
      <c r="C1367" s="331">
        <v>56755699599</v>
      </c>
      <c r="D1367" s="331">
        <v>34063417981</v>
      </c>
      <c r="E1367" s="331">
        <v>1048421852</v>
      </c>
      <c r="F1367" s="331">
        <v>667137</v>
      </c>
      <c r="G1367" s="370">
        <f t="shared" si="63"/>
        <v>1.1754537512770868E-5</v>
      </c>
      <c r="H1367" s="370">
        <f t="shared" si="64"/>
        <v>1.9585145576762667E-5</v>
      </c>
      <c r="I1367" s="331">
        <v>1832348</v>
      </c>
      <c r="J1367" s="331">
        <v>0</v>
      </c>
      <c r="K1367" s="331">
        <f t="shared" si="65"/>
        <v>1832348</v>
      </c>
      <c r="L1367" s="199">
        <v>3.08</v>
      </c>
      <c r="M1367" s="199">
        <v>2.48</v>
      </c>
    </row>
    <row r="1368" spans="1:13" ht="15" customHeight="1" x14ac:dyDescent="0.25">
      <c r="A1368" s="49">
        <v>2014</v>
      </c>
      <c r="B1368" s="330" t="s">
        <v>39</v>
      </c>
      <c r="C1368" s="331">
        <v>60509342031</v>
      </c>
      <c r="D1368" s="331">
        <v>36146080896</v>
      </c>
      <c r="E1368" s="331">
        <v>996586931</v>
      </c>
      <c r="F1368" s="331">
        <v>559059</v>
      </c>
      <c r="G1368" s="370">
        <f t="shared" si="63"/>
        <v>9.2392179659396097E-6</v>
      </c>
      <c r="H1368" s="370">
        <f t="shared" si="64"/>
        <v>1.5466656028589441E-5</v>
      </c>
      <c r="I1368" s="331">
        <v>2316257</v>
      </c>
      <c r="J1368" s="331">
        <v>0</v>
      </c>
      <c r="K1368" s="331">
        <f t="shared" si="65"/>
        <v>2316257</v>
      </c>
      <c r="L1368" s="333">
        <v>2.7571092253884828</v>
      </c>
      <c r="M1368" s="199">
        <v>2.48</v>
      </c>
    </row>
    <row r="1369" spans="1:13" ht="15" customHeight="1" x14ac:dyDescent="0.25">
      <c r="A1369" s="49">
        <v>2015</v>
      </c>
      <c r="B1369" s="330" t="s">
        <v>39</v>
      </c>
      <c r="C1369" s="334">
        <v>65238473000</v>
      </c>
      <c r="D1369" s="334">
        <v>38562032000</v>
      </c>
      <c r="E1369" s="334">
        <v>950719000</v>
      </c>
      <c r="F1369" s="331">
        <v>510391</v>
      </c>
      <c r="G1369" s="370">
        <f t="shared" si="63"/>
        <v>7.8234663769644026E-6</v>
      </c>
      <c r="H1369" s="370">
        <f t="shared" si="64"/>
        <v>1.3235583643517541E-5</v>
      </c>
      <c r="I1369" s="331">
        <v>2843549</v>
      </c>
      <c r="J1369" s="199">
        <v>0</v>
      </c>
      <c r="K1369" s="331">
        <f t="shared" si="65"/>
        <v>2843549</v>
      </c>
      <c r="L1369" s="199">
        <v>2.5</v>
      </c>
      <c r="M1369" s="199">
        <v>2.48</v>
      </c>
    </row>
    <row r="1370" spans="1:13" ht="15" customHeight="1" x14ac:dyDescent="0.25">
      <c r="A1370" s="49">
        <v>1980</v>
      </c>
      <c r="B1370" s="330" t="s">
        <v>40</v>
      </c>
      <c r="C1370" s="331">
        <v>53495337451</v>
      </c>
      <c r="D1370" s="331">
        <v>22437994269</v>
      </c>
      <c r="E1370" s="331">
        <v>742727103</v>
      </c>
      <c r="F1370" s="331">
        <v>1164447</v>
      </c>
      <c r="G1370" s="370">
        <f t="shared" si="63"/>
        <v>2.1767261512586885E-5</v>
      </c>
      <c r="H1370" s="370">
        <f t="shared" si="64"/>
        <v>5.1896216125198974E-5</v>
      </c>
      <c r="I1370" s="331">
        <v>143901</v>
      </c>
      <c r="J1370" s="331">
        <v>1387265</v>
      </c>
      <c r="K1370" s="331">
        <f t="shared" si="65"/>
        <v>-1243364</v>
      </c>
      <c r="L1370" s="199">
        <v>3.31</v>
      </c>
      <c r="M1370" s="199">
        <v>2.63</v>
      </c>
    </row>
    <row r="1371" spans="1:13" ht="15" customHeight="1" x14ac:dyDescent="0.25">
      <c r="A1371" s="49">
        <v>1981</v>
      </c>
      <c r="B1371" s="330" t="s">
        <v>40</v>
      </c>
      <c r="C1371" s="331">
        <v>57023163072</v>
      </c>
      <c r="D1371" s="331">
        <v>22947472122</v>
      </c>
      <c r="E1371" s="331">
        <v>1012618563</v>
      </c>
      <c r="F1371" s="331">
        <v>1075699</v>
      </c>
      <c r="G1371" s="370">
        <f t="shared" si="63"/>
        <v>1.8864246422840034E-5</v>
      </c>
      <c r="H1371" s="370">
        <f t="shared" si="64"/>
        <v>4.6876579445485642E-5</v>
      </c>
      <c r="I1371" s="331">
        <v>269734</v>
      </c>
      <c r="J1371" s="331">
        <v>1566328</v>
      </c>
      <c r="K1371" s="331">
        <f t="shared" si="65"/>
        <v>-1296594</v>
      </c>
      <c r="L1371" s="199">
        <v>4.41</v>
      </c>
      <c r="M1371" s="199">
        <v>2.57</v>
      </c>
    </row>
    <row r="1372" spans="1:13" ht="15" customHeight="1" x14ac:dyDescent="0.25">
      <c r="A1372" s="49">
        <v>1982</v>
      </c>
      <c r="B1372" s="330" t="s">
        <v>40</v>
      </c>
      <c r="C1372" s="331">
        <v>57225323990</v>
      </c>
      <c r="D1372" s="331">
        <v>22878370910</v>
      </c>
      <c r="E1372" s="331">
        <v>1048536918</v>
      </c>
      <c r="F1372" s="331">
        <v>1823688</v>
      </c>
      <c r="G1372" s="370">
        <f t="shared" si="63"/>
        <v>3.1868548272766191E-5</v>
      </c>
      <c r="H1372" s="370">
        <f t="shared" si="64"/>
        <v>7.9712318992209219E-5</v>
      </c>
      <c r="I1372" s="331">
        <v>0</v>
      </c>
      <c r="J1372" s="331">
        <v>2145252</v>
      </c>
      <c r="K1372" s="331">
        <f t="shared" si="65"/>
        <v>-2145252</v>
      </c>
      <c r="L1372" s="199">
        <v>4.58</v>
      </c>
      <c r="M1372" s="199">
        <v>2.93</v>
      </c>
    </row>
    <row r="1373" spans="1:13" ht="15" customHeight="1" x14ac:dyDescent="0.25">
      <c r="A1373" s="49">
        <v>1983</v>
      </c>
      <c r="B1373" s="330" t="s">
        <v>40</v>
      </c>
      <c r="C1373" s="331">
        <v>58455674718</v>
      </c>
      <c r="D1373" s="331">
        <v>23507546530</v>
      </c>
      <c r="E1373" s="331">
        <v>1123050042</v>
      </c>
      <c r="F1373" s="331">
        <v>1594008</v>
      </c>
      <c r="G1373" s="370">
        <f t="shared" si="63"/>
        <v>2.7268661386422491E-5</v>
      </c>
      <c r="H1373" s="370">
        <f t="shared" si="64"/>
        <v>6.7808352435493399E-5</v>
      </c>
      <c r="I1373" s="331">
        <v>0</v>
      </c>
      <c r="J1373" s="331">
        <v>2617389</v>
      </c>
      <c r="K1373" s="331">
        <f t="shared" si="65"/>
        <v>-2617389</v>
      </c>
      <c r="L1373" s="199">
        <v>4.78</v>
      </c>
      <c r="M1373" s="199">
        <v>3.11</v>
      </c>
    </row>
    <row r="1374" spans="1:13" ht="15" customHeight="1" x14ac:dyDescent="0.25">
      <c r="A1374" s="49">
        <v>1984</v>
      </c>
      <c r="B1374" s="330" t="s">
        <v>40</v>
      </c>
      <c r="C1374" s="331">
        <v>63241121967</v>
      </c>
      <c r="D1374" s="331">
        <v>27012903414</v>
      </c>
      <c r="E1374" s="331">
        <v>1522194223</v>
      </c>
      <c r="F1374" s="331">
        <v>1019598</v>
      </c>
      <c r="G1374" s="370">
        <f t="shared" si="63"/>
        <v>1.6122389487840505E-5</v>
      </c>
      <c r="H1374" s="370">
        <f t="shared" si="64"/>
        <v>3.7744850465484288E-5</v>
      </c>
      <c r="I1374" s="331">
        <v>0</v>
      </c>
      <c r="J1374" s="331">
        <v>1970851</v>
      </c>
      <c r="K1374" s="331">
        <f t="shared" si="65"/>
        <v>-1970851</v>
      </c>
      <c r="L1374" s="199">
        <v>5.64</v>
      </c>
      <c r="M1374" s="199">
        <v>3.11</v>
      </c>
    </row>
    <row r="1375" spans="1:13" ht="15" customHeight="1" x14ac:dyDescent="0.25">
      <c r="A1375" s="49">
        <v>1985</v>
      </c>
      <c r="B1375" s="330" t="s">
        <v>40</v>
      </c>
      <c r="C1375" s="331">
        <v>66774598868</v>
      </c>
      <c r="D1375" s="331">
        <v>27612597117</v>
      </c>
      <c r="E1375" s="331">
        <v>1513948508</v>
      </c>
      <c r="F1375" s="331">
        <v>1050483</v>
      </c>
      <c r="G1375" s="370">
        <f t="shared" si="63"/>
        <v>1.5731775522554533E-5</v>
      </c>
      <c r="H1375" s="370">
        <f t="shared" si="64"/>
        <v>3.8043614497719902E-5</v>
      </c>
      <c r="I1375" s="331">
        <v>770</v>
      </c>
      <c r="J1375" s="331">
        <v>1338674</v>
      </c>
      <c r="K1375" s="331">
        <f t="shared" si="65"/>
        <v>-1337904</v>
      </c>
      <c r="L1375" s="199">
        <v>5.48</v>
      </c>
      <c r="M1375" s="199">
        <v>3.11</v>
      </c>
    </row>
    <row r="1376" spans="1:13" ht="15" customHeight="1" x14ac:dyDescent="0.25">
      <c r="A1376" s="49">
        <v>1986</v>
      </c>
      <c r="B1376" s="330" t="s">
        <v>40</v>
      </c>
      <c r="C1376" s="331">
        <v>70446888959</v>
      </c>
      <c r="D1376" s="331">
        <v>28307014507</v>
      </c>
      <c r="E1376" s="331">
        <v>1424222725</v>
      </c>
      <c r="F1376" s="331">
        <v>1056882</v>
      </c>
      <c r="G1376" s="370">
        <f t="shared" si="63"/>
        <v>1.5002536174664917E-5</v>
      </c>
      <c r="H1376" s="370">
        <f t="shared" si="64"/>
        <v>3.7336399419255086E-5</v>
      </c>
      <c r="I1376" s="331">
        <v>160629</v>
      </c>
      <c r="J1376" s="331">
        <v>893639</v>
      </c>
      <c r="K1376" s="331">
        <f t="shared" si="65"/>
        <v>-733010</v>
      </c>
      <c r="L1376" s="199">
        <v>5.03</v>
      </c>
      <c r="M1376" s="199">
        <v>3.11</v>
      </c>
    </row>
    <row r="1377" spans="1:13" ht="15" customHeight="1" x14ac:dyDescent="0.25">
      <c r="A1377" s="49">
        <v>1987</v>
      </c>
      <c r="B1377" s="330" t="s">
        <v>40</v>
      </c>
      <c r="C1377" s="331">
        <v>75932406314</v>
      </c>
      <c r="D1377" s="331">
        <v>29445303255</v>
      </c>
      <c r="E1377" s="331">
        <v>1328440891</v>
      </c>
      <c r="F1377" s="331">
        <v>860874</v>
      </c>
      <c r="G1377" s="370">
        <f t="shared" si="63"/>
        <v>1.1337372826564522E-5</v>
      </c>
      <c r="H1377" s="370">
        <f t="shared" si="64"/>
        <v>2.9236377446845215E-5</v>
      </c>
      <c r="I1377" s="331">
        <v>705306</v>
      </c>
      <c r="J1377" s="331">
        <v>587640</v>
      </c>
      <c r="K1377" s="331">
        <f t="shared" si="65"/>
        <v>117666</v>
      </c>
      <c r="L1377" s="199">
        <v>4.51</v>
      </c>
      <c r="M1377" s="199">
        <v>3.11</v>
      </c>
    </row>
    <row r="1378" spans="1:13" ht="15" customHeight="1" x14ac:dyDescent="0.25">
      <c r="A1378" s="49">
        <v>1988</v>
      </c>
      <c r="B1378" s="330" t="s">
        <v>40</v>
      </c>
      <c r="C1378" s="331">
        <v>82315154183</v>
      </c>
      <c r="D1378" s="331">
        <v>30786598567</v>
      </c>
      <c r="E1378" s="331">
        <v>1324607115</v>
      </c>
      <c r="F1378" s="331">
        <v>793731</v>
      </c>
      <c r="G1378" s="370">
        <f t="shared" si="63"/>
        <v>9.6425865671757923E-6</v>
      </c>
      <c r="H1378" s="370">
        <f t="shared" si="64"/>
        <v>2.5781704928286434E-5</v>
      </c>
      <c r="I1378" s="331">
        <v>1217061</v>
      </c>
      <c r="J1378" s="331">
        <v>0</v>
      </c>
      <c r="K1378" s="331">
        <f t="shared" si="65"/>
        <v>1217061</v>
      </c>
      <c r="L1378" s="199">
        <v>4.3</v>
      </c>
      <c r="M1378" s="199">
        <v>3.11</v>
      </c>
    </row>
    <row r="1379" spans="1:13" ht="15" customHeight="1" x14ac:dyDescent="0.25">
      <c r="A1379" s="49">
        <v>1989</v>
      </c>
      <c r="B1379" s="330" t="s">
        <v>40</v>
      </c>
      <c r="C1379" s="331">
        <v>86831057415</v>
      </c>
      <c r="D1379" s="331">
        <v>31644596043</v>
      </c>
      <c r="E1379" s="331">
        <v>1161227004</v>
      </c>
      <c r="F1379" s="331">
        <v>940413</v>
      </c>
      <c r="G1379" s="370">
        <f t="shared" si="63"/>
        <v>1.0830375996751876E-5</v>
      </c>
      <c r="H1379" s="370">
        <f t="shared" si="64"/>
        <v>2.9717965074419895E-5</v>
      </c>
      <c r="I1379" s="331">
        <v>1615858</v>
      </c>
      <c r="J1379" s="331">
        <v>0</v>
      </c>
      <c r="K1379" s="331">
        <f t="shared" si="65"/>
        <v>1615858</v>
      </c>
      <c r="L1379" s="199">
        <v>3.67</v>
      </c>
      <c r="M1379" s="199">
        <v>3.11</v>
      </c>
    </row>
    <row r="1380" spans="1:13" ht="15" customHeight="1" x14ac:dyDescent="0.25">
      <c r="A1380" s="49">
        <v>1990</v>
      </c>
      <c r="B1380" s="330" t="s">
        <v>40</v>
      </c>
      <c r="C1380" s="331">
        <v>90947231738</v>
      </c>
      <c r="D1380" s="331">
        <v>31888252877</v>
      </c>
      <c r="E1380" s="331">
        <v>1090893245</v>
      </c>
      <c r="F1380" s="331">
        <v>1166140</v>
      </c>
      <c r="G1380" s="370">
        <f t="shared" si="63"/>
        <v>1.2822160473882328E-5</v>
      </c>
      <c r="H1380" s="370">
        <f t="shared" si="64"/>
        <v>3.6569579540718592E-5</v>
      </c>
      <c r="I1380" s="331">
        <v>1647622</v>
      </c>
      <c r="J1380" s="331">
        <v>0</v>
      </c>
      <c r="K1380" s="331">
        <f t="shared" si="65"/>
        <v>1647622</v>
      </c>
      <c r="L1380" s="199">
        <v>3.42</v>
      </c>
      <c r="M1380" s="199">
        <v>3.11</v>
      </c>
    </row>
    <row r="1381" spans="1:13" ht="15" customHeight="1" x14ac:dyDescent="0.25">
      <c r="A1381" s="49">
        <v>1991</v>
      </c>
      <c r="B1381" s="330" t="s">
        <v>40</v>
      </c>
      <c r="C1381" s="331">
        <v>91680823492</v>
      </c>
      <c r="D1381" s="331">
        <v>31239643913</v>
      </c>
      <c r="E1381" s="331">
        <v>1063550680</v>
      </c>
      <c r="F1381" s="331">
        <v>1642778</v>
      </c>
      <c r="G1381" s="370">
        <f t="shared" si="63"/>
        <v>1.7918447254603331E-5</v>
      </c>
      <c r="H1381" s="370">
        <f t="shared" si="64"/>
        <v>5.2586322833096628E-5</v>
      </c>
      <c r="I1381" s="331">
        <v>1155988</v>
      </c>
      <c r="J1381" s="331">
        <v>0</v>
      </c>
      <c r="K1381" s="331">
        <f t="shared" si="65"/>
        <v>1155988</v>
      </c>
      <c r="L1381" s="199">
        <v>3.4</v>
      </c>
      <c r="M1381" s="199">
        <v>3.11</v>
      </c>
    </row>
    <row r="1382" spans="1:13" ht="15" customHeight="1" x14ac:dyDescent="0.25">
      <c r="A1382" s="49">
        <v>1992</v>
      </c>
      <c r="B1382" s="330" t="s">
        <v>40</v>
      </c>
      <c r="C1382" s="331">
        <v>96343394233</v>
      </c>
      <c r="D1382" s="331">
        <v>31280917529</v>
      </c>
      <c r="E1382" s="331">
        <v>1240722629</v>
      </c>
      <c r="F1382" s="331">
        <v>1653941</v>
      </c>
      <c r="G1382" s="370">
        <f t="shared" si="63"/>
        <v>1.7167144807043598E-5</v>
      </c>
      <c r="H1382" s="370">
        <f t="shared" si="64"/>
        <v>5.2873800727445409E-5</v>
      </c>
      <c r="I1382" s="331">
        <v>807828</v>
      </c>
      <c r="J1382" s="331">
        <v>0</v>
      </c>
      <c r="K1382" s="331">
        <f t="shared" si="65"/>
        <v>807828</v>
      </c>
      <c r="L1382" s="199">
        <v>4.01</v>
      </c>
      <c r="M1382" s="199">
        <v>3.11</v>
      </c>
    </row>
    <row r="1383" spans="1:13" ht="15" customHeight="1" x14ac:dyDescent="0.25">
      <c r="A1383" s="49">
        <v>1993</v>
      </c>
      <c r="B1383" s="330" t="s">
        <v>40</v>
      </c>
      <c r="C1383" s="331">
        <v>98513740862</v>
      </c>
      <c r="D1383" s="331">
        <v>31574642088</v>
      </c>
      <c r="E1383" s="331">
        <v>1671426492</v>
      </c>
      <c r="F1383" s="331">
        <v>1413289</v>
      </c>
      <c r="G1383" s="370">
        <f t="shared" si="63"/>
        <v>1.4346110376417065E-5</v>
      </c>
      <c r="H1383" s="370">
        <f t="shared" si="64"/>
        <v>4.4760254005765055E-5</v>
      </c>
      <c r="I1383" s="331">
        <v>1105425</v>
      </c>
      <c r="J1383" s="331">
        <v>0</v>
      </c>
      <c r="K1383" s="331">
        <f t="shared" si="65"/>
        <v>1105425</v>
      </c>
      <c r="L1383" s="199">
        <v>5.29</v>
      </c>
      <c r="M1383" s="199">
        <v>3.11</v>
      </c>
    </row>
    <row r="1384" spans="1:13" ht="15" customHeight="1" x14ac:dyDescent="0.25">
      <c r="A1384" s="49">
        <v>1994</v>
      </c>
      <c r="B1384" s="330" t="s">
        <v>40</v>
      </c>
      <c r="C1384" s="331">
        <v>102465938896</v>
      </c>
      <c r="D1384" s="331">
        <v>32328551959</v>
      </c>
      <c r="E1384" s="331">
        <v>1766290434</v>
      </c>
      <c r="F1384" s="331">
        <v>1458081</v>
      </c>
      <c r="G1384" s="370">
        <f t="shared" si="63"/>
        <v>1.4229909135755938E-5</v>
      </c>
      <c r="H1384" s="370">
        <f t="shared" si="64"/>
        <v>4.5101958227178879E-5</v>
      </c>
      <c r="I1384" s="331">
        <v>1518999</v>
      </c>
      <c r="J1384" s="331">
        <v>0</v>
      </c>
      <c r="K1384" s="331">
        <f t="shared" si="65"/>
        <v>1518999</v>
      </c>
      <c r="L1384" s="199">
        <v>5.46</v>
      </c>
      <c r="M1384" s="199">
        <v>3.11</v>
      </c>
    </row>
    <row r="1385" spans="1:13" ht="15" customHeight="1" x14ac:dyDescent="0.25">
      <c r="A1385" s="49">
        <v>1995</v>
      </c>
      <c r="B1385" s="330" t="s">
        <v>40</v>
      </c>
      <c r="C1385" s="331">
        <v>107598960794</v>
      </c>
      <c r="D1385" s="331">
        <v>32839034039</v>
      </c>
      <c r="E1385" s="331">
        <v>1689088078</v>
      </c>
      <c r="F1385" s="331">
        <v>1475508</v>
      </c>
      <c r="G1385" s="370">
        <f t="shared" si="63"/>
        <v>1.3713032069379225E-5</v>
      </c>
      <c r="H1385" s="370">
        <f t="shared" si="64"/>
        <v>4.4931528687709585E-5</v>
      </c>
      <c r="I1385" s="331">
        <v>1914777</v>
      </c>
      <c r="J1385" s="331">
        <v>0</v>
      </c>
      <c r="K1385" s="331">
        <f t="shared" si="65"/>
        <v>1914777</v>
      </c>
      <c r="L1385" s="199">
        <v>5.14</v>
      </c>
      <c r="M1385" s="199">
        <v>2.9</v>
      </c>
    </row>
    <row r="1386" spans="1:13" ht="15" customHeight="1" x14ac:dyDescent="0.25">
      <c r="A1386" s="49">
        <v>1996</v>
      </c>
      <c r="B1386" s="330" t="s">
        <v>40</v>
      </c>
      <c r="C1386" s="331">
        <v>113262172504</v>
      </c>
      <c r="D1386" s="331">
        <v>33661322648</v>
      </c>
      <c r="E1386" s="331">
        <v>1433473023</v>
      </c>
      <c r="F1386" s="331">
        <v>1502211</v>
      </c>
      <c r="G1386" s="370">
        <f t="shared" si="63"/>
        <v>1.3263130723957705E-5</v>
      </c>
      <c r="H1386" s="370">
        <f t="shared" si="64"/>
        <v>4.4627212534361134E-5</v>
      </c>
      <c r="I1386" s="331">
        <v>2031947</v>
      </c>
      <c r="J1386" s="331">
        <v>0</v>
      </c>
      <c r="K1386" s="331">
        <f t="shared" si="65"/>
        <v>2031947</v>
      </c>
      <c r="L1386" s="199">
        <v>4.26</v>
      </c>
      <c r="M1386" s="199">
        <v>2.86</v>
      </c>
    </row>
    <row r="1387" spans="1:13" ht="15" customHeight="1" x14ac:dyDescent="0.25">
      <c r="A1387" s="49">
        <v>1997</v>
      </c>
      <c r="B1387" s="330" t="s">
        <v>40</v>
      </c>
      <c r="C1387" s="331">
        <v>121443203056</v>
      </c>
      <c r="D1387" s="331">
        <v>34860185632</v>
      </c>
      <c r="E1387" s="331">
        <v>1377274123</v>
      </c>
      <c r="F1387" s="331">
        <v>1338234</v>
      </c>
      <c r="G1387" s="370">
        <f t="shared" si="63"/>
        <v>1.1019422794562758E-5</v>
      </c>
      <c r="H1387" s="370">
        <f t="shared" si="64"/>
        <v>3.8388607970336353E-5</v>
      </c>
      <c r="I1387" s="331">
        <v>2253703</v>
      </c>
      <c r="J1387" s="331">
        <v>0</v>
      </c>
      <c r="K1387" s="331">
        <f t="shared" si="65"/>
        <v>2253703</v>
      </c>
      <c r="L1387" s="199">
        <v>3.95</v>
      </c>
      <c r="M1387" s="199">
        <v>2.86</v>
      </c>
    </row>
    <row r="1388" spans="1:13" ht="15" customHeight="1" x14ac:dyDescent="0.25">
      <c r="A1388" s="49">
        <v>1998</v>
      </c>
      <c r="B1388" s="330" t="s">
        <v>40</v>
      </c>
      <c r="C1388" s="331">
        <v>130461630083</v>
      </c>
      <c r="D1388" s="331">
        <v>36263774441</v>
      </c>
      <c r="E1388" s="331">
        <v>1397058686</v>
      </c>
      <c r="F1388" s="331">
        <v>1316049</v>
      </c>
      <c r="G1388" s="370">
        <f t="shared" si="63"/>
        <v>1.0087632656151288E-5</v>
      </c>
      <c r="H1388" s="370">
        <f t="shared" si="64"/>
        <v>3.629100997584158E-5</v>
      </c>
      <c r="I1388" s="331">
        <v>2462478</v>
      </c>
      <c r="J1388" s="331">
        <v>0</v>
      </c>
      <c r="K1388" s="331">
        <f t="shared" si="65"/>
        <v>2462478</v>
      </c>
      <c r="L1388" s="199">
        <v>3.85</v>
      </c>
      <c r="M1388" s="199">
        <v>2.86</v>
      </c>
    </row>
    <row r="1389" spans="1:13" ht="15" customHeight="1" x14ac:dyDescent="0.25">
      <c r="A1389" s="49">
        <v>1999</v>
      </c>
      <c r="B1389" s="330" t="s">
        <v>40</v>
      </c>
      <c r="C1389" s="331">
        <v>138488875217</v>
      </c>
      <c r="D1389" s="331">
        <v>37301502327</v>
      </c>
      <c r="E1389" s="331">
        <v>1396002440</v>
      </c>
      <c r="F1389" s="331">
        <v>1263885</v>
      </c>
      <c r="G1389" s="370">
        <f t="shared" si="63"/>
        <v>9.126256517136141E-6</v>
      </c>
      <c r="H1389" s="370">
        <f t="shared" si="64"/>
        <v>3.3882951654876388E-5</v>
      </c>
      <c r="I1389" s="331">
        <v>2663297</v>
      </c>
      <c r="J1389" s="331">
        <v>0</v>
      </c>
      <c r="K1389" s="331">
        <f t="shared" si="65"/>
        <v>2663297</v>
      </c>
      <c r="L1389" s="199">
        <v>3.74</v>
      </c>
      <c r="M1389" s="199">
        <v>2.86</v>
      </c>
    </row>
    <row r="1390" spans="1:13" ht="15" customHeight="1" x14ac:dyDescent="0.25">
      <c r="A1390" s="49">
        <v>2000</v>
      </c>
      <c r="B1390" s="330" t="s">
        <v>40</v>
      </c>
      <c r="C1390" s="331">
        <v>147325518246</v>
      </c>
      <c r="D1390" s="331">
        <v>38650328852</v>
      </c>
      <c r="E1390" s="331">
        <v>1419231835</v>
      </c>
      <c r="F1390" s="331">
        <v>1376499</v>
      </c>
      <c r="G1390" s="370">
        <f t="shared" si="63"/>
        <v>9.3432489930329707E-6</v>
      </c>
      <c r="H1390" s="370">
        <f t="shared" si="64"/>
        <v>3.5614160108983697E-5</v>
      </c>
      <c r="I1390" s="331">
        <v>2865076</v>
      </c>
      <c r="J1390" s="331">
        <v>0</v>
      </c>
      <c r="K1390" s="331">
        <f t="shared" si="65"/>
        <v>2865076</v>
      </c>
      <c r="L1390" s="199">
        <v>3.67</v>
      </c>
      <c r="M1390" s="199">
        <v>2.86</v>
      </c>
    </row>
    <row r="1391" spans="1:13" ht="15" customHeight="1" x14ac:dyDescent="0.25">
      <c r="A1391" s="49">
        <v>2001</v>
      </c>
      <c r="B1391" s="330" t="s">
        <v>40</v>
      </c>
      <c r="C1391" s="331">
        <v>150082390953</v>
      </c>
      <c r="D1391" s="331">
        <v>38379018325</v>
      </c>
      <c r="E1391" s="331">
        <v>1383174243</v>
      </c>
      <c r="F1391" s="331">
        <v>2045299</v>
      </c>
      <c r="G1391" s="370">
        <f t="shared" si="63"/>
        <v>1.3627841261141078E-5</v>
      </c>
      <c r="H1391" s="370">
        <f t="shared" si="64"/>
        <v>5.3292113484510293E-5</v>
      </c>
      <c r="I1391" s="331">
        <v>2380363</v>
      </c>
      <c r="J1391" s="331">
        <v>0</v>
      </c>
      <c r="K1391" s="331">
        <f t="shared" si="65"/>
        <v>2380363</v>
      </c>
      <c r="L1391" s="199">
        <v>3.6</v>
      </c>
      <c r="M1391" s="199">
        <v>2.75</v>
      </c>
    </row>
    <row r="1392" spans="1:13" ht="15" customHeight="1" x14ac:dyDescent="0.25">
      <c r="A1392" s="49">
        <v>2002</v>
      </c>
      <c r="B1392" s="330" t="s">
        <v>40</v>
      </c>
      <c r="C1392" s="331">
        <v>150511974706</v>
      </c>
      <c r="D1392" s="331">
        <v>37617946696</v>
      </c>
      <c r="E1392" s="331">
        <v>1376552813</v>
      </c>
      <c r="F1392" s="331">
        <v>2535462</v>
      </c>
      <c r="G1392" s="370">
        <f t="shared" si="63"/>
        <v>1.6845583249788607E-5</v>
      </c>
      <c r="H1392" s="370">
        <f t="shared" si="64"/>
        <v>6.7400329435567027E-5</v>
      </c>
      <c r="I1392" s="331">
        <v>1710128</v>
      </c>
      <c r="J1392" s="331">
        <v>0</v>
      </c>
      <c r="K1392" s="331">
        <f t="shared" si="65"/>
        <v>1710128</v>
      </c>
      <c r="L1392" s="199">
        <v>3.66</v>
      </c>
      <c r="M1392" s="199">
        <v>2.75</v>
      </c>
    </row>
    <row r="1393" spans="1:13" ht="15" customHeight="1" x14ac:dyDescent="0.25">
      <c r="A1393" s="49">
        <v>2003</v>
      </c>
      <c r="B1393" s="330" t="s">
        <v>40</v>
      </c>
      <c r="C1393" s="331">
        <v>153642534656</v>
      </c>
      <c r="D1393" s="331">
        <v>37238308950</v>
      </c>
      <c r="E1393" s="331">
        <v>1482892264</v>
      </c>
      <c r="F1393" s="331">
        <v>2523135</v>
      </c>
      <c r="G1393" s="370">
        <f t="shared" si="63"/>
        <v>1.6422112572206693E-5</v>
      </c>
      <c r="H1393" s="370">
        <f t="shared" si="64"/>
        <v>6.775643339196261E-5</v>
      </c>
      <c r="I1393" s="331">
        <v>761931</v>
      </c>
      <c r="J1393" s="331">
        <v>0</v>
      </c>
      <c r="K1393" s="331">
        <f t="shared" si="65"/>
        <v>761931</v>
      </c>
      <c r="L1393" s="199">
        <v>3.98</v>
      </c>
      <c r="M1393" s="199">
        <v>2.75</v>
      </c>
    </row>
    <row r="1394" spans="1:13" ht="15" customHeight="1" x14ac:dyDescent="0.25">
      <c r="A1394" s="49">
        <v>2004</v>
      </c>
      <c r="B1394" s="330" t="s">
        <v>40</v>
      </c>
      <c r="C1394" s="331">
        <v>160704556322</v>
      </c>
      <c r="D1394" s="331">
        <v>37765433851</v>
      </c>
      <c r="E1394" s="331">
        <v>1618715276</v>
      </c>
      <c r="F1394" s="331">
        <v>2132371</v>
      </c>
      <c r="G1394" s="370">
        <f t="shared" si="63"/>
        <v>1.3268889500104885E-5</v>
      </c>
      <c r="H1394" s="370">
        <f t="shared" si="64"/>
        <v>5.6463564232124833E-5</v>
      </c>
      <c r="I1394" s="331">
        <v>613986</v>
      </c>
      <c r="J1394" s="331">
        <v>0</v>
      </c>
      <c r="K1394" s="331">
        <f t="shared" si="65"/>
        <v>613986</v>
      </c>
      <c r="L1394" s="199">
        <v>4.29</v>
      </c>
      <c r="M1394" s="199">
        <v>2.75</v>
      </c>
    </row>
    <row r="1395" spans="1:13" ht="15" customHeight="1" x14ac:dyDescent="0.25">
      <c r="A1395" s="49">
        <v>2005</v>
      </c>
      <c r="B1395" s="330" t="s">
        <v>40</v>
      </c>
      <c r="C1395" s="331">
        <v>167408882440</v>
      </c>
      <c r="D1395" s="331">
        <v>38288137267</v>
      </c>
      <c r="E1395" s="331">
        <v>2035495642</v>
      </c>
      <c r="F1395" s="331">
        <v>1917176</v>
      </c>
      <c r="G1395" s="370">
        <f t="shared" si="63"/>
        <v>1.1452056617647653E-5</v>
      </c>
      <c r="H1395" s="370">
        <f t="shared" si="64"/>
        <v>5.00723236189499E-5</v>
      </c>
      <c r="I1395" s="331">
        <v>980813</v>
      </c>
      <c r="J1395" s="331">
        <v>0</v>
      </c>
      <c r="K1395" s="331">
        <f t="shared" si="65"/>
        <v>980813</v>
      </c>
      <c r="L1395" s="199">
        <v>5.32</v>
      </c>
      <c r="M1395" s="199">
        <v>2.75</v>
      </c>
    </row>
    <row r="1396" spans="1:13" ht="15" customHeight="1" x14ac:dyDescent="0.25">
      <c r="A1396" s="49">
        <v>2006</v>
      </c>
      <c r="B1396" s="330" t="s">
        <v>40</v>
      </c>
      <c r="C1396" s="331">
        <v>176452218885</v>
      </c>
      <c r="D1396" s="331">
        <v>38838199740</v>
      </c>
      <c r="E1396" s="331">
        <v>2093550415</v>
      </c>
      <c r="F1396" s="331">
        <v>1898484</v>
      </c>
      <c r="G1396" s="370">
        <f t="shared" si="63"/>
        <v>1.0759195956823345E-5</v>
      </c>
      <c r="H1396" s="370">
        <f t="shared" si="64"/>
        <v>4.888187435847406E-5</v>
      </c>
      <c r="I1396" s="331">
        <v>1383464</v>
      </c>
      <c r="J1396" s="331">
        <v>0</v>
      </c>
      <c r="K1396" s="331">
        <f t="shared" si="65"/>
        <v>1383464</v>
      </c>
      <c r="L1396" s="199">
        <v>5.39</v>
      </c>
      <c r="M1396" s="199">
        <v>2.75</v>
      </c>
    </row>
    <row r="1397" spans="1:13" ht="15" customHeight="1" x14ac:dyDescent="0.25">
      <c r="A1397" s="49">
        <v>2007</v>
      </c>
      <c r="B1397" s="330" t="s">
        <v>40</v>
      </c>
      <c r="C1397" s="331">
        <v>186163720453</v>
      </c>
      <c r="D1397" s="331">
        <v>39551645722</v>
      </c>
      <c r="E1397" s="331">
        <v>1981402782</v>
      </c>
      <c r="F1397" s="331">
        <v>2011014</v>
      </c>
      <c r="G1397" s="370">
        <f t="shared" si="63"/>
        <v>1.080239476900502E-5</v>
      </c>
      <c r="H1397" s="370">
        <f t="shared" si="64"/>
        <v>5.0845267328064787E-5</v>
      </c>
      <c r="I1397" s="331">
        <v>1545652</v>
      </c>
      <c r="J1397" s="331">
        <v>0</v>
      </c>
      <c r="K1397" s="331">
        <f t="shared" si="65"/>
        <v>1545652</v>
      </c>
      <c r="L1397" s="199">
        <v>5.01</v>
      </c>
      <c r="M1397" s="199">
        <v>2.75</v>
      </c>
    </row>
    <row r="1398" spans="1:13" ht="15" customHeight="1" x14ac:dyDescent="0.25">
      <c r="A1398" s="49">
        <v>2008</v>
      </c>
      <c r="B1398" s="330" t="s">
        <v>40</v>
      </c>
      <c r="C1398" s="331">
        <v>189874275398</v>
      </c>
      <c r="D1398" s="331">
        <v>39345902695</v>
      </c>
      <c r="E1398" s="331">
        <v>1835739527</v>
      </c>
      <c r="F1398" s="331">
        <v>2607430</v>
      </c>
      <c r="G1398" s="370">
        <f t="shared" si="63"/>
        <v>1.3732402636083818E-5</v>
      </c>
      <c r="H1398" s="370">
        <f t="shared" si="64"/>
        <v>6.6269416162901935E-5</v>
      </c>
      <c r="I1398" s="331">
        <v>981162</v>
      </c>
      <c r="J1398" s="331">
        <v>0</v>
      </c>
      <c r="K1398" s="331">
        <f t="shared" si="65"/>
        <v>981162</v>
      </c>
      <c r="L1398" s="199">
        <v>4.7</v>
      </c>
      <c r="M1398" s="199">
        <v>2.75</v>
      </c>
    </row>
    <row r="1399" spans="1:13" ht="15" customHeight="1" x14ac:dyDescent="0.25">
      <c r="A1399" s="49">
        <v>2009</v>
      </c>
      <c r="B1399" s="330" t="s">
        <v>40</v>
      </c>
      <c r="C1399" s="331">
        <v>181473393421</v>
      </c>
      <c r="D1399" s="331">
        <v>36863799654</v>
      </c>
      <c r="E1399" s="331">
        <v>1708344366</v>
      </c>
      <c r="F1399" s="331">
        <v>4582764</v>
      </c>
      <c r="G1399" s="370">
        <f t="shared" si="63"/>
        <v>2.5253090348999255E-5</v>
      </c>
      <c r="H1399" s="370">
        <f t="shared" si="64"/>
        <v>1.2431610531234903E-4</v>
      </c>
      <c r="I1399" s="331">
        <v>116777</v>
      </c>
      <c r="J1399" s="331">
        <v>1871458</v>
      </c>
      <c r="K1399" s="331">
        <f t="shared" si="65"/>
        <v>-1754681</v>
      </c>
      <c r="L1399" s="199">
        <v>4.5999999999999996</v>
      </c>
      <c r="M1399" s="199">
        <v>2.0099999999999998</v>
      </c>
    </row>
    <row r="1400" spans="1:13" ht="15" customHeight="1" x14ac:dyDescent="0.25">
      <c r="A1400" s="49">
        <v>2010</v>
      </c>
      <c r="B1400" s="330" t="s">
        <v>40</v>
      </c>
      <c r="C1400" s="331">
        <v>185164304847</v>
      </c>
      <c r="D1400" s="331">
        <v>37286953239</v>
      </c>
      <c r="E1400" s="331">
        <v>2079208340</v>
      </c>
      <c r="F1400" s="331">
        <v>3328541</v>
      </c>
      <c r="G1400" s="370">
        <f t="shared" si="63"/>
        <v>1.7976148279498853E-5</v>
      </c>
      <c r="H1400" s="370">
        <f t="shared" si="64"/>
        <v>8.9268248297598587E-5</v>
      </c>
      <c r="I1400" s="331">
        <v>94082</v>
      </c>
      <c r="J1400" s="331">
        <v>3008615</v>
      </c>
      <c r="K1400" s="331">
        <f t="shared" si="65"/>
        <v>-2914533</v>
      </c>
      <c r="L1400" s="199">
        <v>5.6</v>
      </c>
      <c r="M1400" s="199">
        <v>2.04</v>
      </c>
    </row>
    <row r="1401" spans="1:13" x14ac:dyDescent="0.25">
      <c r="A1401" s="49">
        <v>2011</v>
      </c>
      <c r="B1401" s="330" t="s">
        <v>40</v>
      </c>
      <c r="C1401" s="331">
        <v>194204602941</v>
      </c>
      <c r="D1401" s="331">
        <v>38440446453</v>
      </c>
      <c r="E1401" s="331">
        <v>2500708081</v>
      </c>
      <c r="F1401" s="331">
        <v>2969090</v>
      </c>
      <c r="G1401" s="370">
        <f t="shared" si="63"/>
        <v>1.5288463584470342E-5</v>
      </c>
      <c r="H1401" s="370">
        <f t="shared" si="64"/>
        <v>7.7238697100727452E-5</v>
      </c>
      <c r="I1401" s="331">
        <v>40007</v>
      </c>
      <c r="J1401" s="331">
        <v>3234745</v>
      </c>
      <c r="K1401" s="331">
        <f t="shared" si="65"/>
        <v>-3194738</v>
      </c>
      <c r="L1401" s="199">
        <v>6.5</v>
      </c>
      <c r="M1401" s="199">
        <v>2.04</v>
      </c>
    </row>
    <row r="1402" spans="1:13" ht="15" customHeight="1" x14ac:dyDescent="0.25">
      <c r="A1402" s="49">
        <v>2012</v>
      </c>
      <c r="B1402" s="330" t="s">
        <v>40</v>
      </c>
      <c r="C1402" s="331">
        <v>203287649545</v>
      </c>
      <c r="D1402" s="331">
        <v>39027560588</v>
      </c>
      <c r="E1402" s="331">
        <v>2589780467</v>
      </c>
      <c r="F1402" s="331">
        <v>2882034</v>
      </c>
      <c r="G1402" s="370">
        <f t="shared" si="63"/>
        <v>1.4177122941066961E-5</v>
      </c>
      <c r="H1402" s="370">
        <f t="shared" si="64"/>
        <v>7.3846121986065235E-5</v>
      </c>
      <c r="I1402" s="331">
        <v>164275</v>
      </c>
      <c r="J1402" s="331">
        <v>0</v>
      </c>
      <c r="K1402" s="331">
        <f t="shared" si="65"/>
        <v>164275</v>
      </c>
      <c r="L1402" s="199">
        <v>6.64</v>
      </c>
      <c r="M1402" s="199">
        <v>2.04</v>
      </c>
    </row>
    <row r="1403" spans="1:13" ht="15" customHeight="1" x14ac:dyDescent="0.25">
      <c r="A1403" s="49">
        <v>2013</v>
      </c>
      <c r="B1403" s="330" t="s">
        <v>40</v>
      </c>
      <c r="C1403" s="331">
        <v>206839889425</v>
      </c>
      <c r="D1403" s="331">
        <v>41504289694</v>
      </c>
      <c r="E1403" s="331">
        <v>2751781478</v>
      </c>
      <c r="F1403" s="331">
        <v>2482249</v>
      </c>
      <c r="G1403" s="370">
        <f t="shared" si="63"/>
        <v>1.2000823472205838E-5</v>
      </c>
      <c r="H1403" s="370">
        <f t="shared" si="64"/>
        <v>5.9807046893247815E-5</v>
      </c>
      <c r="I1403" s="331">
        <v>263121</v>
      </c>
      <c r="J1403" s="331">
        <v>0</v>
      </c>
      <c r="K1403" s="331">
        <f t="shared" si="65"/>
        <v>263121</v>
      </c>
      <c r="L1403" s="199">
        <v>6.63</v>
      </c>
      <c r="M1403" s="199">
        <v>2.04</v>
      </c>
    </row>
    <row r="1404" spans="1:13" ht="15" customHeight="1" x14ac:dyDescent="0.25">
      <c r="A1404" s="49">
        <v>2014</v>
      </c>
      <c r="B1404" s="330" t="s">
        <v>40</v>
      </c>
      <c r="C1404" s="331">
        <v>215990893113</v>
      </c>
      <c r="D1404" s="331">
        <v>43373388398</v>
      </c>
      <c r="E1404" s="331">
        <v>2737039766</v>
      </c>
      <c r="F1404" s="331">
        <v>2115444</v>
      </c>
      <c r="G1404" s="370">
        <f t="shared" si="63"/>
        <v>9.7941351577877071E-6</v>
      </c>
      <c r="H1404" s="370">
        <f t="shared" si="64"/>
        <v>4.877285538746486E-5</v>
      </c>
      <c r="I1404" s="331">
        <v>537212</v>
      </c>
      <c r="J1404" s="331">
        <v>0</v>
      </c>
      <c r="K1404" s="331">
        <f t="shared" si="65"/>
        <v>537212</v>
      </c>
      <c r="L1404" s="333">
        <v>6.3104125988141799</v>
      </c>
      <c r="M1404" s="199">
        <v>2.04</v>
      </c>
    </row>
    <row r="1405" spans="1:13" ht="15" customHeight="1" x14ac:dyDescent="0.25">
      <c r="A1405" s="49">
        <v>2015</v>
      </c>
      <c r="B1405" s="330" t="s">
        <v>40</v>
      </c>
      <c r="C1405" s="334">
        <v>225176368000</v>
      </c>
      <c r="D1405" s="334">
        <v>45529541000</v>
      </c>
      <c r="E1405" s="334">
        <v>2926906000</v>
      </c>
      <c r="F1405" s="331">
        <v>1993415</v>
      </c>
      <c r="G1405" s="370">
        <f t="shared" si="63"/>
        <v>8.8526829778158608E-6</v>
      </c>
      <c r="H1405" s="370">
        <f t="shared" si="64"/>
        <v>4.3782892518068656E-5</v>
      </c>
      <c r="I1405" s="331">
        <v>966815</v>
      </c>
      <c r="J1405" s="199">
        <v>0</v>
      </c>
      <c r="K1405" s="331">
        <f t="shared" si="65"/>
        <v>966815</v>
      </c>
      <c r="L1405" s="199">
        <v>6.1</v>
      </c>
      <c r="M1405" s="199">
        <v>2.04</v>
      </c>
    </row>
    <row r="1406" spans="1:13" ht="15" customHeight="1" x14ac:dyDescent="0.25">
      <c r="A1406" s="49">
        <v>1980</v>
      </c>
      <c r="B1406" s="330" t="s">
        <v>41</v>
      </c>
      <c r="C1406" s="331">
        <v>4141317214</v>
      </c>
      <c r="D1406" s="331">
        <v>4141317214</v>
      </c>
      <c r="E1406" s="331">
        <v>122215689</v>
      </c>
      <c r="F1406" s="331">
        <v>83677</v>
      </c>
      <c r="G1406" s="370">
        <f t="shared" si="63"/>
        <v>2.0205407042262859E-5</v>
      </c>
      <c r="H1406" s="370">
        <f t="shared" si="64"/>
        <v>2.0205407042262859E-5</v>
      </c>
      <c r="I1406" s="331">
        <v>54387</v>
      </c>
      <c r="J1406" s="331">
        <v>88700</v>
      </c>
      <c r="K1406" s="331">
        <f t="shared" si="65"/>
        <v>-34313</v>
      </c>
      <c r="L1406" s="199">
        <v>2.95</v>
      </c>
      <c r="M1406" s="199" t="e">
        <v>#N/A</v>
      </c>
    </row>
    <row r="1407" spans="1:13" ht="15" customHeight="1" x14ac:dyDescent="0.25">
      <c r="A1407" s="49">
        <v>1981</v>
      </c>
      <c r="B1407" s="330" t="s">
        <v>41</v>
      </c>
      <c r="C1407" s="331">
        <v>4350521939</v>
      </c>
      <c r="D1407" s="331">
        <v>4349923486</v>
      </c>
      <c r="E1407" s="331">
        <v>128265458</v>
      </c>
      <c r="F1407" s="331">
        <v>117171</v>
      </c>
      <c r="G1407" s="370">
        <f t="shared" si="63"/>
        <v>2.6932630530977767E-5</v>
      </c>
      <c r="H1407" s="370">
        <f t="shared" si="64"/>
        <v>2.6936335863632707E-5</v>
      </c>
      <c r="I1407" s="331">
        <v>57088</v>
      </c>
      <c r="J1407" s="331">
        <v>80838</v>
      </c>
      <c r="K1407" s="331">
        <f t="shared" si="65"/>
        <v>-23750</v>
      </c>
      <c r="L1407" s="199">
        <v>2.95</v>
      </c>
      <c r="M1407" s="199" t="e">
        <v>#N/A</v>
      </c>
    </row>
    <row r="1408" spans="1:13" ht="15" customHeight="1" x14ac:dyDescent="0.25">
      <c r="A1408" s="49">
        <v>1982</v>
      </c>
      <c r="B1408" s="330" t="s">
        <v>41</v>
      </c>
      <c r="C1408" s="331">
        <v>4239565187</v>
      </c>
      <c r="D1408" s="331">
        <v>4239298933</v>
      </c>
      <c r="E1408" s="331">
        <v>125000172</v>
      </c>
      <c r="F1408" s="331">
        <v>135499</v>
      </c>
      <c r="G1408" s="370">
        <f t="shared" si="63"/>
        <v>3.1960588886682919E-5</v>
      </c>
      <c r="H1408" s="370">
        <f t="shared" si="64"/>
        <v>3.1962596207885772E-5</v>
      </c>
      <c r="I1408" s="331">
        <v>18762</v>
      </c>
      <c r="J1408" s="331">
        <v>65619</v>
      </c>
      <c r="K1408" s="331">
        <f t="shared" si="65"/>
        <v>-46857</v>
      </c>
      <c r="L1408" s="199">
        <v>2.95</v>
      </c>
      <c r="M1408" s="199" t="e">
        <v>#N/A</v>
      </c>
    </row>
    <row r="1409" spans="1:13" ht="15" customHeight="1" x14ac:dyDescent="0.25">
      <c r="A1409" s="49">
        <v>1983</v>
      </c>
      <c r="B1409" s="330" t="s">
        <v>41</v>
      </c>
      <c r="C1409" s="331">
        <v>4487469306</v>
      </c>
      <c r="D1409" s="331">
        <v>4487469306</v>
      </c>
      <c r="E1409" s="331">
        <v>132335771</v>
      </c>
      <c r="F1409" s="331">
        <v>93971</v>
      </c>
      <c r="G1409" s="370">
        <f t="shared" si="63"/>
        <v>2.0940756045808596E-5</v>
      </c>
      <c r="H1409" s="370">
        <f t="shared" si="64"/>
        <v>2.0940756045808596E-5</v>
      </c>
      <c r="I1409" s="331">
        <v>33932</v>
      </c>
      <c r="J1409" s="331">
        <v>51113</v>
      </c>
      <c r="K1409" s="331">
        <f t="shared" si="65"/>
        <v>-17181</v>
      </c>
      <c r="L1409" s="199">
        <v>2.95</v>
      </c>
      <c r="M1409" s="199" t="e">
        <v>#N/A</v>
      </c>
    </row>
    <row r="1410" spans="1:13" ht="15" customHeight="1" x14ac:dyDescent="0.25">
      <c r="A1410" s="49">
        <v>1984</v>
      </c>
      <c r="B1410" s="330" t="s">
        <v>41</v>
      </c>
      <c r="C1410" s="331">
        <v>4947944043</v>
      </c>
      <c r="D1410" s="331">
        <v>4947944043</v>
      </c>
      <c r="E1410" s="331">
        <v>145877547</v>
      </c>
      <c r="F1410" s="331">
        <v>80514</v>
      </c>
      <c r="G1410" s="370">
        <f t="shared" ref="G1410:G1473" si="66">F1410/C1410</f>
        <v>1.6272213125349606E-5</v>
      </c>
      <c r="H1410" s="370">
        <f t="shared" ref="H1410:H1473" si="67">F1410/D1410</f>
        <v>1.6272213125349606E-5</v>
      </c>
      <c r="I1410" s="331">
        <v>81443</v>
      </c>
      <c r="J1410" s="331">
        <v>35757</v>
      </c>
      <c r="K1410" s="331">
        <f t="shared" ref="K1410:K1473" si="68">I1410-J1410</f>
        <v>45686</v>
      </c>
      <c r="L1410" s="199">
        <v>2.95</v>
      </c>
      <c r="M1410" s="199">
        <v>3.99</v>
      </c>
    </row>
    <row r="1411" spans="1:13" ht="15" customHeight="1" x14ac:dyDescent="0.25">
      <c r="A1411" s="49">
        <v>1985</v>
      </c>
      <c r="B1411" s="330" t="s">
        <v>41</v>
      </c>
      <c r="C1411" s="331">
        <v>5030015328</v>
      </c>
      <c r="D1411" s="331">
        <v>3419153890</v>
      </c>
      <c r="E1411" s="331">
        <v>183009418</v>
      </c>
      <c r="F1411" s="331">
        <v>105132</v>
      </c>
      <c r="G1411" s="370">
        <f t="shared" si="66"/>
        <v>2.0900930344043676E-5</v>
      </c>
      <c r="H1411" s="370">
        <f t="shared" si="67"/>
        <v>3.0747957939968596E-5</v>
      </c>
      <c r="I1411" s="331">
        <v>134137</v>
      </c>
      <c r="J1411" s="331">
        <v>19216</v>
      </c>
      <c r="K1411" s="331">
        <f t="shared" si="68"/>
        <v>114921</v>
      </c>
      <c r="L1411" s="199">
        <v>5.35</v>
      </c>
      <c r="M1411" s="199">
        <v>3.99</v>
      </c>
    </row>
    <row r="1412" spans="1:13" ht="15" customHeight="1" x14ac:dyDescent="0.25">
      <c r="A1412" s="49">
        <v>1986</v>
      </c>
      <c r="B1412" s="330" t="s">
        <v>41</v>
      </c>
      <c r="C1412" s="331">
        <v>5468938256</v>
      </c>
      <c r="D1412" s="331">
        <v>3214659849</v>
      </c>
      <c r="E1412" s="331">
        <v>171779822</v>
      </c>
      <c r="F1412" s="331">
        <v>97108</v>
      </c>
      <c r="G1412" s="370">
        <f t="shared" si="66"/>
        <v>1.775628018719398E-5</v>
      </c>
      <c r="H1412" s="370">
        <f t="shared" si="67"/>
        <v>3.0207861659207229E-5</v>
      </c>
      <c r="I1412" s="331">
        <v>190151</v>
      </c>
      <c r="J1412" s="331">
        <v>0</v>
      </c>
      <c r="K1412" s="331">
        <f t="shared" si="68"/>
        <v>190151</v>
      </c>
      <c r="L1412" s="199">
        <v>5.34</v>
      </c>
      <c r="M1412" s="199">
        <v>3.99</v>
      </c>
    </row>
    <row r="1413" spans="1:13" ht="15" customHeight="1" x14ac:dyDescent="0.25">
      <c r="A1413" s="49">
        <v>1987</v>
      </c>
      <c r="B1413" s="330" t="s">
        <v>41</v>
      </c>
      <c r="C1413" s="331">
        <v>5964058907</v>
      </c>
      <c r="D1413" s="331">
        <v>3444758205</v>
      </c>
      <c r="E1413" s="331">
        <v>184166036</v>
      </c>
      <c r="F1413" s="331">
        <v>89350</v>
      </c>
      <c r="G1413" s="370">
        <f t="shared" si="66"/>
        <v>1.4981408029878803E-5</v>
      </c>
      <c r="H1413" s="370">
        <f t="shared" si="67"/>
        <v>2.5937959845863841E-5</v>
      </c>
      <c r="I1413" s="331">
        <v>294967</v>
      </c>
      <c r="J1413" s="331">
        <v>0</v>
      </c>
      <c r="K1413" s="331">
        <f t="shared" si="68"/>
        <v>294967</v>
      </c>
      <c r="L1413" s="199">
        <v>5.35</v>
      </c>
      <c r="M1413" s="199">
        <v>3.99</v>
      </c>
    </row>
    <row r="1414" spans="1:13" ht="15" customHeight="1" x14ac:dyDescent="0.25">
      <c r="A1414" s="49">
        <v>1988</v>
      </c>
      <c r="B1414" s="330" t="s">
        <v>41</v>
      </c>
      <c r="C1414" s="331">
        <v>6573587944</v>
      </c>
      <c r="D1414" s="331">
        <v>3723838557</v>
      </c>
      <c r="E1414" s="331">
        <v>199178778</v>
      </c>
      <c r="F1414" s="331">
        <v>93403</v>
      </c>
      <c r="G1414" s="370">
        <f t="shared" si="66"/>
        <v>1.4208830975670293E-5</v>
      </c>
      <c r="H1414" s="370">
        <f t="shared" si="67"/>
        <v>2.5082451500058411E-5</v>
      </c>
      <c r="I1414" s="331">
        <v>430500</v>
      </c>
      <c r="J1414" s="331">
        <v>0</v>
      </c>
      <c r="K1414" s="331">
        <f t="shared" si="68"/>
        <v>430500</v>
      </c>
      <c r="L1414" s="199">
        <v>5.35</v>
      </c>
      <c r="M1414" s="199">
        <v>3.99</v>
      </c>
    </row>
    <row r="1415" spans="1:13" ht="15" customHeight="1" x14ac:dyDescent="0.25">
      <c r="A1415" s="49">
        <v>1989</v>
      </c>
      <c r="B1415" s="330" t="s">
        <v>41</v>
      </c>
      <c r="C1415" s="331">
        <v>7040280873</v>
      </c>
      <c r="D1415" s="331">
        <v>3859082488</v>
      </c>
      <c r="E1415" s="331">
        <v>206476264</v>
      </c>
      <c r="F1415" s="331">
        <v>112678</v>
      </c>
      <c r="G1415" s="370">
        <f t="shared" si="66"/>
        <v>1.6004759189669336E-5</v>
      </c>
      <c r="H1415" s="370">
        <f t="shared" si="67"/>
        <v>2.9198132030185305E-5</v>
      </c>
      <c r="I1415" s="331">
        <v>563646</v>
      </c>
      <c r="J1415" s="331">
        <v>0</v>
      </c>
      <c r="K1415" s="331">
        <f t="shared" si="68"/>
        <v>563646</v>
      </c>
      <c r="L1415" s="199">
        <v>5.35</v>
      </c>
      <c r="M1415" s="199">
        <v>3.99</v>
      </c>
    </row>
    <row r="1416" spans="1:13" ht="15" customHeight="1" x14ac:dyDescent="0.25">
      <c r="A1416" s="49">
        <v>1990</v>
      </c>
      <c r="B1416" s="330" t="s">
        <v>41</v>
      </c>
      <c r="C1416" s="331">
        <v>7494485325</v>
      </c>
      <c r="D1416" s="331">
        <v>3963645631</v>
      </c>
      <c r="E1416" s="331">
        <v>205704518</v>
      </c>
      <c r="F1416" s="331">
        <v>134451</v>
      </c>
      <c r="G1416" s="370">
        <f t="shared" si="66"/>
        <v>1.7939991096053018E-5</v>
      </c>
      <c r="H1416" s="370">
        <f t="shared" si="67"/>
        <v>3.3921044542541248E-5</v>
      </c>
      <c r="I1416" s="331">
        <v>674846</v>
      </c>
      <c r="J1416" s="331">
        <v>0</v>
      </c>
      <c r="K1416" s="331">
        <f t="shared" si="68"/>
        <v>674846</v>
      </c>
      <c r="L1416" s="199">
        <v>5.19</v>
      </c>
      <c r="M1416" s="199">
        <v>3.99</v>
      </c>
    </row>
    <row r="1417" spans="1:13" ht="15" customHeight="1" x14ac:dyDescent="0.25">
      <c r="A1417" s="49">
        <v>1991</v>
      </c>
      <c r="B1417" s="330" t="s">
        <v>41</v>
      </c>
      <c r="C1417" s="331">
        <v>7783679911</v>
      </c>
      <c r="D1417" s="331">
        <v>3956934274</v>
      </c>
      <c r="E1417" s="331">
        <v>205074256</v>
      </c>
      <c r="F1417" s="331">
        <v>169999</v>
      </c>
      <c r="G1417" s="370">
        <f t="shared" si="66"/>
        <v>2.1840440761156578E-5</v>
      </c>
      <c r="H1417" s="370">
        <f t="shared" si="67"/>
        <v>4.2962300667215984E-5</v>
      </c>
      <c r="I1417" s="331">
        <v>750020</v>
      </c>
      <c r="J1417" s="331">
        <v>0</v>
      </c>
      <c r="K1417" s="331">
        <f t="shared" si="68"/>
        <v>750020</v>
      </c>
      <c r="L1417" s="199">
        <v>5.18</v>
      </c>
      <c r="M1417" s="199">
        <v>3.99</v>
      </c>
    </row>
    <row r="1418" spans="1:13" ht="15" customHeight="1" x14ac:dyDescent="0.25">
      <c r="A1418" s="49">
        <v>1992</v>
      </c>
      <c r="B1418" s="330" t="s">
        <v>41</v>
      </c>
      <c r="C1418" s="331">
        <v>8278959925</v>
      </c>
      <c r="D1418" s="331">
        <v>4082458955</v>
      </c>
      <c r="E1418" s="331">
        <v>124854619</v>
      </c>
      <c r="F1418" s="331">
        <v>182906</v>
      </c>
      <c r="G1418" s="370">
        <f t="shared" si="66"/>
        <v>2.209287176855129E-5</v>
      </c>
      <c r="H1418" s="370">
        <f t="shared" si="67"/>
        <v>4.480289992284809E-5</v>
      </c>
      <c r="I1418" s="331">
        <v>749255</v>
      </c>
      <c r="J1418" s="331">
        <v>0</v>
      </c>
      <c r="K1418" s="331">
        <f t="shared" si="68"/>
        <v>749255</v>
      </c>
      <c r="L1418" s="199">
        <v>3.06</v>
      </c>
      <c r="M1418" s="199">
        <v>3.99</v>
      </c>
    </row>
    <row r="1419" spans="1:13" ht="15" customHeight="1" x14ac:dyDescent="0.25">
      <c r="A1419" s="49">
        <v>1993</v>
      </c>
      <c r="B1419" s="330" t="s">
        <v>41</v>
      </c>
      <c r="C1419" s="331">
        <v>8708549039</v>
      </c>
      <c r="D1419" s="331">
        <v>4210152554</v>
      </c>
      <c r="E1419" s="331">
        <v>124227166</v>
      </c>
      <c r="F1419" s="331">
        <v>211678</v>
      </c>
      <c r="G1419" s="370">
        <f t="shared" si="66"/>
        <v>2.4306919448007945E-5</v>
      </c>
      <c r="H1419" s="370">
        <f t="shared" si="67"/>
        <v>5.0277988097815611E-5</v>
      </c>
      <c r="I1419" s="331">
        <v>730873</v>
      </c>
      <c r="J1419" s="331">
        <v>0</v>
      </c>
      <c r="K1419" s="331">
        <f t="shared" si="68"/>
        <v>730873</v>
      </c>
      <c r="L1419" s="199">
        <v>2.95</v>
      </c>
      <c r="M1419" s="199">
        <v>3.99</v>
      </c>
    </row>
    <row r="1420" spans="1:13" ht="15" customHeight="1" x14ac:dyDescent="0.25">
      <c r="A1420" s="49">
        <v>1994</v>
      </c>
      <c r="B1420" s="330" t="s">
        <v>41</v>
      </c>
      <c r="C1420" s="331">
        <v>8914172992</v>
      </c>
      <c r="D1420" s="331">
        <v>4305392982</v>
      </c>
      <c r="E1420" s="331">
        <v>134601088</v>
      </c>
      <c r="F1420" s="331">
        <v>230754</v>
      </c>
      <c r="G1420" s="370">
        <f t="shared" si="66"/>
        <v>2.5886192718841058E-5</v>
      </c>
      <c r="H1420" s="370">
        <f t="shared" si="67"/>
        <v>5.3596501170679894E-5</v>
      </c>
      <c r="I1420" s="331">
        <v>674663</v>
      </c>
      <c r="J1420" s="331">
        <v>0</v>
      </c>
      <c r="K1420" s="331">
        <f t="shared" si="68"/>
        <v>674663</v>
      </c>
      <c r="L1420" s="199">
        <v>3.13</v>
      </c>
      <c r="M1420" s="199">
        <v>3.99</v>
      </c>
    </row>
    <row r="1421" spans="1:13" ht="15" customHeight="1" x14ac:dyDescent="0.25">
      <c r="A1421" s="49">
        <v>1995</v>
      </c>
      <c r="B1421" s="330" t="s">
        <v>41</v>
      </c>
      <c r="C1421" s="331">
        <v>9452821937</v>
      </c>
      <c r="D1421" s="331">
        <v>4469551170</v>
      </c>
      <c r="E1421" s="331">
        <v>143719827</v>
      </c>
      <c r="F1421" s="331">
        <v>220954</v>
      </c>
      <c r="G1421" s="370">
        <f t="shared" si="66"/>
        <v>2.3374395653762117E-5</v>
      </c>
      <c r="H1421" s="370">
        <f t="shared" si="67"/>
        <v>4.9435388833460876E-5</v>
      </c>
      <c r="I1421" s="331">
        <v>634291</v>
      </c>
      <c r="J1421" s="331">
        <v>0</v>
      </c>
      <c r="K1421" s="331">
        <f t="shared" si="68"/>
        <v>634291</v>
      </c>
      <c r="L1421" s="199">
        <v>3.22</v>
      </c>
      <c r="M1421" s="199">
        <v>3.66</v>
      </c>
    </row>
    <row r="1422" spans="1:13" ht="15" customHeight="1" x14ac:dyDescent="0.25">
      <c r="A1422" s="49">
        <v>1996</v>
      </c>
      <c r="B1422" s="330" t="s">
        <v>41</v>
      </c>
      <c r="C1422" s="331">
        <v>10160648569</v>
      </c>
      <c r="D1422" s="331">
        <v>4739058942</v>
      </c>
      <c r="E1422" s="331">
        <v>158297813</v>
      </c>
      <c r="F1422" s="331">
        <v>215059</v>
      </c>
      <c r="G1422" s="370">
        <f t="shared" si="66"/>
        <v>2.1165873274678751E-5</v>
      </c>
      <c r="H1422" s="370">
        <f t="shared" si="67"/>
        <v>4.5380106605983633E-5</v>
      </c>
      <c r="I1422" s="331">
        <v>595703</v>
      </c>
      <c r="J1422" s="331">
        <v>0</v>
      </c>
      <c r="K1422" s="331">
        <f t="shared" si="68"/>
        <v>595703</v>
      </c>
      <c r="L1422" s="199">
        <v>3.34</v>
      </c>
      <c r="M1422" s="199">
        <v>3.38</v>
      </c>
    </row>
    <row r="1423" spans="1:13" ht="15" customHeight="1" x14ac:dyDescent="0.25">
      <c r="A1423" s="49">
        <v>1997</v>
      </c>
      <c r="B1423" s="330" t="s">
        <v>41</v>
      </c>
      <c r="C1423" s="331">
        <v>10886704289</v>
      </c>
      <c r="D1423" s="331">
        <v>4931560471</v>
      </c>
      <c r="E1423" s="331">
        <v>164290656</v>
      </c>
      <c r="F1423" s="331">
        <v>228619</v>
      </c>
      <c r="G1423" s="370">
        <f t="shared" si="66"/>
        <v>2.099983557291973E-5</v>
      </c>
      <c r="H1423" s="370">
        <f t="shared" si="67"/>
        <v>4.6358348710188613E-5</v>
      </c>
      <c r="I1423" s="331">
        <v>586659</v>
      </c>
      <c r="J1423" s="331">
        <v>0</v>
      </c>
      <c r="K1423" s="331">
        <f t="shared" si="68"/>
        <v>586659</v>
      </c>
      <c r="L1423" s="199">
        <v>3.34</v>
      </c>
      <c r="M1423" s="199">
        <v>3.22</v>
      </c>
    </row>
    <row r="1424" spans="1:13" ht="15" customHeight="1" x14ac:dyDescent="0.25">
      <c r="A1424" s="49">
        <v>1998</v>
      </c>
      <c r="B1424" s="330" t="s">
        <v>41</v>
      </c>
      <c r="C1424" s="331">
        <v>11618661165</v>
      </c>
      <c r="D1424" s="331">
        <v>5115543634</v>
      </c>
      <c r="E1424" s="331">
        <v>167871177</v>
      </c>
      <c r="F1424" s="331">
        <v>247007</v>
      </c>
      <c r="G1424" s="370">
        <f t="shared" si="66"/>
        <v>2.1259506279784E-5</v>
      </c>
      <c r="H1424" s="370">
        <f t="shared" si="67"/>
        <v>4.8285581684474394E-5</v>
      </c>
      <c r="I1424" s="331">
        <v>540700</v>
      </c>
      <c r="J1424" s="331">
        <v>0</v>
      </c>
      <c r="K1424" s="331">
        <f t="shared" si="68"/>
        <v>540700</v>
      </c>
      <c r="L1424" s="199">
        <v>3.28</v>
      </c>
      <c r="M1424" s="199">
        <v>3.22</v>
      </c>
    </row>
    <row r="1425" spans="1:13" ht="15" customHeight="1" x14ac:dyDescent="0.25">
      <c r="A1425" s="49">
        <v>1999</v>
      </c>
      <c r="B1425" s="330" t="s">
        <v>41</v>
      </c>
      <c r="C1425" s="331">
        <v>12760460946</v>
      </c>
      <c r="D1425" s="331">
        <v>5411182810</v>
      </c>
      <c r="E1425" s="331">
        <v>177904640</v>
      </c>
      <c r="F1425" s="331">
        <v>237089</v>
      </c>
      <c r="G1425" s="370">
        <f t="shared" si="66"/>
        <v>1.8579971444865389E-5</v>
      </c>
      <c r="H1425" s="370">
        <f t="shared" si="67"/>
        <v>4.3814635048339826E-5</v>
      </c>
      <c r="I1425" s="331">
        <v>532077</v>
      </c>
      <c r="J1425" s="331">
        <v>0</v>
      </c>
      <c r="K1425" s="331">
        <f t="shared" si="68"/>
        <v>532077</v>
      </c>
      <c r="L1425" s="199">
        <v>3.29</v>
      </c>
      <c r="M1425" s="199">
        <v>3.22</v>
      </c>
    </row>
    <row r="1426" spans="1:13" ht="15" customHeight="1" x14ac:dyDescent="0.25">
      <c r="A1426" s="49">
        <v>2000</v>
      </c>
      <c r="B1426" s="330" t="s">
        <v>41</v>
      </c>
      <c r="C1426" s="331">
        <v>13363847192</v>
      </c>
      <c r="D1426" s="331">
        <v>5539567659</v>
      </c>
      <c r="E1426" s="331">
        <v>188373941</v>
      </c>
      <c r="F1426" s="331">
        <v>224935</v>
      </c>
      <c r="G1426" s="370">
        <f t="shared" si="66"/>
        <v>1.6831605208315526E-5</v>
      </c>
      <c r="H1426" s="370">
        <f t="shared" si="67"/>
        <v>4.0605154381417042E-5</v>
      </c>
      <c r="I1426" s="331">
        <v>534513</v>
      </c>
      <c r="J1426" s="331">
        <v>0</v>
      </c>
      <c r="K1426" s="331">
        <f t="shared" si="68"/>
        <v>534513</v>
      </c>
      <c r="L1426" s="199">
        <v>3.4</v>
      </c>
      <c r="M1426" s="199">
        <v>3.22</v>
      </c>
    </row>
    <row r="1427" spans="1:13" ht="15" customHeight="1" x14ac:dyDescent="0.25">
      <c r="A1427" s="49">
        <v>2001</v>
      </c>
      <c r="B1427" s="330" t="s">
        <v>41</v>
      </c>
      <c r="C1427" s="331">
        <v>13491179634</v>
      </c>
      <c r="D1427" s="331">
        <v>5394342198</v>
      </c>
      <c r="E1427" s="331">
        <v>185448745</v>
      </c>
      <c r="F1427" s="331">
        <v>258118</v>
      </c>
      <c r="G1427" s="370">
        <f t="shared" si="66"/>
        <v>1.9132352173971506E-5</v>
      </c>
      <c r="H1427" s="370">
        <f t="shared" si="67"/>
        <v>4.784976379431389E-5</v>
      </c>
      <c r="I1427" s="331">
        <v>507046</v>
      </c>
      <c r="J1427" s="331">
        <v>0</v>
      </c>
      <c r="K1427" s="331">
        <f t="shared" si="68"/>
        <v>507046</v>
      </c>
      <c r="L1427" s="199">
        <v>3.44</v>
      </c>
      <c r="M1427" s="199">
        <v>3.22</v>
      </c>
    </row>
    <row r="1428" spans="1:13" ht="15" customHeight="1" x14ac:dyDescent="0.25">
      <c r="A1428" s="49">
        <v>2002</v>
      </c>
      <c r="B1428" s="330" t="s">
        <v>41</v>
      </c>
      <c r="C1428" s="331">
        <v>13481282346</v>
      </c>
      <c r="D1428" s="331">
        <v>5183096443</v>
      </c>
      <c r="E1428" s="331">
        <v>176388936</v>
      </c>
      <c r="F1428" s="331">
        <v>257288</v>
      </c>
      <c r="G1428" s="370">
        <f t="shared" si="66"/>
        <v>1.9084831353327402E-5</v>
      </c>
      <c r="H1428" s="370">
        <f t="shared" si="67"/>
        <v>4.9639824925017317E-5</v>
      </c>
      <c r="I1428" s="331">
        <v>526949</v>
      </c>
      <c r="J1428" s="331">
        <v>0</v>
      </c>
      <c r="K1428" s="331">
        <f t="shared" si="68"/>
        <v>526949</v>
      </c>
      <c r="L1428" s="199">
        <v>3.4</v>
      </c>
      <c r="M1428" s="199">
        <v>3.22</v>
      </c>
    </row>
    <row r="1429" spans="1:13" ht="15" customHeight="1" x14ac:dyDescent="0.25">
      <c r="A1429" s="49">
        <v>2003</v>
      </c>
      <c r="B1429" s="330" t="s">
        <v>41</v>
      </c>
      <c r="C1429" s="331">
        <v>14292724244</v>
      </c>
      <c r="D1429" s="331">
        <v>5358834870</v>
      </c>
      <c r="E1429" s="331">
        <v>180248363</v>
      </c>
      <c r="F1429" s="331">
        <v>228115</v>
      </c>
      <c r="G1429" s="370">
        <f t="shared" si="66"/>
        <v>1.5960218367450928E-5</v>
      </c>
      <c r="H1429" s="370">
        <f t="shared" si="67"/>
        <v>4.2568021880472684E-5</v>
      </c>
      <c r="I1429" s="331">
        <v>512280</v>
      </c>
      <c r="J1429" s="331">
        <v>0</v>
      </c>
      <c r="K1429" s="331">
        <f t="shared" si="68"/>
        <v>512280</v>
      </c>
      <c r="L1429" s="199">
        <v>3.36</v>
      </c>
      <c r="M1429" s="199">
        <v>3.22</v>
      </c>
    </row>
    <row r="1430" spans="1:13" ht="15" customHeight="1" x14ac:dyDescent="0.25">
      <c r="A1430" s="49">
        <v>2004</v>
      </c>
      <c r="B1430" s="330" t="s">
        <v>41</v>
      </c>
      <c r="C1430" s="331">
        <v>15060926938</v>
      </c>
      <c r="D1430" s="331">
        <v>5533188087</v>
      </c>
      <c r="E1430" s="331">
        <v>182627989</v>
      </c>
      <c r="F1430" s="331">
        <v>198049</v>
      </c>
      <c r="G1430" s="370">
        <f t="shared" si="66"/>
        <v>1.3149854641436811E-5</v>
      </c>
      <c r="H1430" s="370">
        <f t="shared" si="67"/>
        <v>3.5792927492435704E-5</v>
      </c>
      <c r="I1430" s="331">
        <v>519928</v>
      </c>
      <c r="J1430" s="331">
        <v>0</v>
      </c>
      <c r="K1430" s="331">
        <f t="shared" si="68"/>
        <v>519928</v>
      </c>
      <c r="L1430" s="199">
        <v>3.3</v>
      </c>
      <c r="M1430" s="199">
        <v>3.22</v>
      </c>
    </row>
    <row r="1431" spans="1:13" ht="15" customHeight="1" x14ac:dyDescent="0.25">
      <c r="A1431" s="49">
        <v>2005</v>
      </c>
      <c r="B1431" s="330" t="s">
        <v>41</v>
      </c>
      <c r="C1431" s="331">
        <v>15650381341</v>
      </c>
      <c r="D1431" s="331">
        <v>5577964647</v>
      </c>
      <c r="E1431" s="331">
        <v>189843922</v>
      </c>
      <c r="F1431" s="331">
        <v>205828</v>
      </c>
      <c r="G1431" s="370">
        <f t="shared" si="66"/>
        <v>1.3151628418202388E-5</v>
      </c>
      <c r="H1431" s="370">
        <f t="shared" si="67"/>
        <v>3.6900198015901842E-5</v>
      </c>
      <c r="I1431" s="331">
        <v>525044</v>
      </c>
      <c r="J1431" s="331">
        <v>0</v>
      </c>
      <c r="K1431" s="331">
        <f t="shared" si="68"/>
        <v>525044</v>
      </c>
      <c r="L1431" s="199">
        <v>3.4</v>
      </c>
      <c r="M1431" s="199">
        <v>3.22</v>
      </c>
    </row>
    <row r="1432" spans="1:13" ht="15" customHeight="1" x14ac:dyDescent="0.25">
      <c r="A1432" s="49">
        <v>2006</v>
      </c>
      <c r="B1432" s="330" t="s">
        <v>41</v>
      </c>
      <c r="C1432" s="331">
        <v>16019796548</v>
      </c>
      <c r="D1432" s="331">
        <v>5508046996</v>
      </c>
      <c r="E1432" s="331">
        <v>178197085</v>
      </c>
      <c r="F1432" s="331">
        <v>199150</v>
      </c>
      <c r="G1432" s="370">
        <f t="shared" si="66"/>
        <v>1.2431493708630337E-5</v>
      </c>
      <c r="H1432" s="370">
        <f t="shared" si="67"/>
        <v>3.6156191140820833E-5</v>
      </c>
      <c r="I1432" s="331">
        <v>525623</v>
      </c>
      <c r="J1432" s="331">
        <v>0</v>
      </c>
      <c r="K1432" s="331">
        <f t="shared" si="68"/>
        <v>525623</v>
      </c>
      <c r="L1432" s="199">
        <v>3.24</v>
      </c>
      <c r="M1432" s="199">
        <v>3.22</v>
      </c>
    </row>
    <row r="1433" spans="1:13" ht="15" customHeight="1" x14ac:dyDescent="0.25">
      <c r="A1433" s="49">
        <v>2007</v>
      </c>
      <c r="B1433" s="330" t="s">
        <v>41</v>
      </c>
      <c r="C1433" s="331">
        <v>16403712033</v>
      </c>
      <c r="D1433" s="331">
        <v>5442791322</v>
      </c>
      <c r="E1433" s="331">
        <v>173172762</v>
      </c>
      <c r="F1433" s="331">
        <v>204317</v>
      </c>
      <c r="G1433" s="370">
        <f t="shared" si="66"/>
        <v>1.2455534429583216E-5</v>
      </c>
      <c r="H1433" s="370">
        <f t="shared" si="67"/>
        <v>3.7539010392359114E-5</v>
      </c>
      <c r="I1433" s="331">
        <v>529260</v>
      </c>
      <c r="J1433" s="331">
        <v>0</v>
      </c>
      <c r="K1433" s="331">
        <f t="shared" si="68"/>
        <v>529260</v>
      </c>
      <c r="L1433" s="199">
        <v>3.18</v>
      </c>
      <c r="M1433" s="199">
        <v>3.22</v>
      </c>
    </row>
    <row r="1434" spans="1:13" ht="15" customHeight="1" x14ac:dyDescent="0.25">
      <c r="A1434" s="49">
        <v>2008</v>
      </c>
      <c r="B1434" s="330" t="s">
        <v>41</v>
      </c>
      <c r="C1434" s="331">
        <v>16613833604</v>
      </c>
      <c r="D1434" s="331">
        <v>5338982267</v>
      </c>
      <c r="E1434" s="331">
        <v>169623534</v>
      </c>
      <c r="F1434" s="331">
        <v>221622</v>
      </c>
      <c r="G1434" s="370">
        <f t="shared" si="66"/>
        <v>1.3339606335448164E-5</v>
      </c>
      <c r="H1434" s="370">
        <f t="shared" si="67"/>
        <v>4.1510158475302536E-5</v>
      </c>
      <c r="I1434" s="331">
        <v>506875</v>
      </c>
      <c r="J1434" s="331">
        <v>0</v>
      </c>
      <c r="K1434" s="331">
        <f t="shared" si="68"/>
        <v>506875</v>
      </c>
      <c r="L1434" s="199">
        <v>3.2</v>
      </c>
      <c r="M1434" s="199">
        <v>3.22</v>
      </c>
    </row>
    <row r="1435" spans="1:13" ht="15" customHeight="1" x14ac:dyDescent="0.25">
      <c r="A1435" s="49">
        <v>2009</v>
      </c>
      <c r="B1435" s="330" t="s">
        <v>41</v>
      </c>
      <c r="C1435" s="331">
        <v>15987445182</v>
      </c>
      <c r="D1435" s="331">
        <v>5032624403</v>
      </c>
      <c r="E1435" s="331">
        <v>156666701</v>
      </c>
      <c r="F1435" s="331">
        <v>304176</v>
      </c>
      <c r="G1435" s="370">
        <f t="shared" si="66"/>
        <v>1.902592919239321E-5</v>
      </c>
      <c r="H1435" s="370">
        <f t="shared" si="67"/>
        <v>6.0440830795693299E-5</v>
      </c>
      <c r="I1435" s="331">
        <v>397376</v>
      </c>
      <c r="J1435" s="331">
        <v>0</v>
      </c>
      <c r="K1435" s="331">
        <f t="shared" si="68"/>
        <v>397376</v>
      </c>
      <c r="L1435" s="199">
        <v>3.1</v>
      </c>
      <c r="M1435" s="199">
        <v>2.68</v>
      </c>
    </row>
    <row r="1436" spans="1:13" x14ac:dyDescent="0.25">
      <c r="A1436" s="49">
        <v>2010</v>
      </c>
      <c r="B1436" s="330" t="s">
        <v>41</v>
      </c>
      <c r="C1436" s="331">
        <v>15874717388</v>
      </c>
      <c r="D1436" s="331">
        <v>5001163170</v>
      </c>
      <c r="E1436" s="331">
        <v>162734006</v>
      </c>
      <c r="F1436" s="331">
        <v>298025</v>
      </c>
      <c r="G1436" s="370">
        <f t="shared" si="66"/>
        <v>1.8773562559625959E-5</v>
      </c>
      <c r="H1436" s="370">
        <f t="shared" si="67"/>
        <v>5.9591137075417598E-5</v>
      </c>
      <c r="I1436" s="331">
        <v>294276</v>
      </c>
      <c r="J1436" s="331">
        <v>0</v>
      </c>
      <c r="K1436" s="331">
        <f t="shared" si="68"/>
        <v>294276</v>
      </c>
      <c r="L1436" s="199">
        <v>3.3</v>
      </c>
      <c r="M1436" s="199">
        <v>2.68</v>
      </c>
    </row>
    <row r="1437" spans="1:13" ht="15" customHeight="1" x14ac:dyDescent="0.25">
      <c r="A1437" s="49">
        <v>2011</v>
      </c>
      <c r="B1437" s="330" t="s">
        <v>41</v>
      </c>
      <c r="C1437" s="331">
        <v>16017141251</v>
      </c>
      <c r="D1437" s="331">
        <v>4967606281</v>
      </c>
      <c r="E1437" s="331">
        <v>178507859</v>
      </c>
      <c r="F1437" s="331">
        <v>226148</v>
      </c>
      <c r="G1437" s="370">
        <f t="shared" si="66"/>
        <v>1.4119123784706641E-5</v>
      </c>
      <c r="H1437" s="370">
        <f t="shared" si="67"/>
        <v>4.552454184321457E-5</v>
      </c>
      <c r="I1437" s="331">
        <v>359118</v>
      </c>
      <c r="J1437" s="331">
        <v>0</v>
      </c>
      <c r="K1437" s="331">
        <f t="shared" si="68"/>
        <v>359118</v>
      </c>
      <c r="L1437" s="199">
        <v>3.6</v>
      </c>
      <c r="M1437" s="199">
        <v>2.68</v>
      </c>
    </row>
    <row r="1438" spans="1:13" ht="15" customHeight="1" x14ac:dyDescent="0.25">
      <c r="A1438" s="49">
        <v>2012</v>
      </c>
      <c r="B1438" s="330" t="s">
        <v>41</v>
      </c>
      <c r="C1438" s="331">
        <v>16500735648</v>
      </c>
      <c r="D1438" s="331">
        <v>5538861462</v>
      </c>
      <c r="E1438" s="331">
        <v>198710662</v>
      </c>
      <c r="F1438" s="331">
        <v>196463</v>
      </c>
      <c r="G1438" s="370">
        <f t="shared" si="66"/>
        <v>1.1906317644923464E-5</v>
      </c>
      <c r="H1438" s="370">
        <f t="shared" si="67"/>
        <v>3.546992488399595E-5</v>
      </c>
      <c r="I1438" s="331">
        <v>363835</v>
      </c>
      <c r="J1438" s="331">
        <v>0</v>
      </c>
      <c r="K1438" s="331">
        <f t="shared" si="68"/>
        <v>363835</v>
      </c>
      <c r="L1438" s="199">
        <v>3.59</v>
      </c>
      <c r="M1438" s="199">
        <v>2.68</v>
      </c>
    </row>
    <row r="1439" spans="1:13" ht="15" customHeight="1" x14ac:dyDescent="0.25">
      <c r="A1439" s="49">
        <v>2013</v>
      </c>
      <c r="B1439" s="330" t="s">
        <v>41</v>
      </c>
      <c r="C1439" s="331">
        <v>16572336418</v>
      </c>
      <c r="D1439" s="331">
        <v>4997733226</v>
      </c>
      <c r="E1439" s="331">
        <v>176594950</v>
      </c>
      <c r="F1439" s="331">
        <v>211044</v>
      </c>
      <c r="G1439" s="370">
        <f t="shared" si="66"/>
        <v>1.273471613639071E-5</v>
      </c>
      <c r="H1439" s="370">
        <f t="shared" si="67"/>
        <v>4.2227944241215891E-5</v>
      </c>
      <c r="I1439" s="331">
        <v>372241</v>
      </c>
      <c r="J1439" s="331">
        <v>0</v>
      </c>
      <c r="K1439" s="331">
        <f t="shared" si="68"/>
        <v>372241</v>
      </c>
      <c r="L1439" s="199">
        <v>3.53</v>
      </c>
      <c r="M1439" s="199">
        <v>2.68</v>
      </c>
    </row>
    <row r="1440" spans="1:13" ht="15" customHeight="1" x14ac:dyDescent="0.25">
      <c r="A1440" s="49">
        <v>2014</v>
      </c>
      <c r="B1440" s="330" t="s">
        <v>41</v>
      </c>
      <c r="C1440" s="331">
        <v>16600910133</v>
      </c>
      <c r="D1440" s="331">
        <v>4917227305</v>
      </c>
      <c r="E1440" s="331">
        <v>172366670</v>
      </c>
      <c r="F1440" s="331">
        <v>162406</v>
      </c>
      <c r="G1440" s="370">
        <f t="shared" si="66"/>
        <v>9.7829576028583158E-6</v>
      </c>
      <c r="H1440" s="370">
        <f t="shared" si="67"/>
        <v>3.3027962696550591E-5</v>
      </c>
      <c r="I1440" s="331">
        <v>409381</v>
      </c>
      <c r="J1440" s="331">
        <v>0</v>
      </c>
      <c r="K1440" s="331">
        <f t="shared" si="68"/>
        <v>409381</v>
      </c>
      <c r="L1440" s="333">
        <v>3.5053630696456084</v>
      </c>
      <c r="M1440" s="199">
        <v>2.68</v>
      </c>
    </row>
    <row r="1441" spans="1:13" ht="15" customHeight="1" x14ac:dyDescent="0.25">
      <c r="A1441" s="49">
        <v>2015</v>
      </c>
      <c r="B1441" s="330" t="s">
        <v>41</v>
      </c>
      <c r="C1441" s="334">
        <v>16813725000</v>
      </c>
      <c r="D1441" s="334">
        <v>4900044000</v>
      </c>
      <c r="E1441" s="334">
        <v>160776000</v>
      </c>
      <c r="F1441" s="331">
        <v>151142</v>
      </c>
      <c r="G1441" s="370">
        <f t="shared" si="66"/>
        <v>8.9892037606181853E-6</v>
      </c>
      <c r="H1441" s="370">
        <f t="shared" si="67"/>
        <v>3.0845029146677049E-5</v>
      </c>
      <c r="I1441" s="331">
        <v>440946</v>
      </c>
      <c r="J1441" s="199">
        <v>0</v>
      </c>
      <c r="K1441" s="331">
        <f t="shared" si="68"/>
        <v>440946</v>
      </c>
      <c r="L1441" s="199">
        <v>3.4</v>
      </c>
      <c r="M1441" s="199">
        <v>2.68</v>
      </c>
    </row>
    <row r="1442" spans="1:13" ht="15" customHeight="1" x14ac:dyDescent="0.25">
      <c r="A1442" s="49">
        <v>1980</v>
      </c>
      <c r="B1442" s="330" t="s">
        <v>42</v>
      </c>
      <c r="C1442" s="331">
        <v>3801737676</v>
      </c>
      <c r="D1442" s="331">
        <v>2068014743</v>
      </c>
      <c r="E1442" s="331">
        <v>85692776</v>
      </c>
      <c r="F1442" s="331">
        <v>76174</v>
      </c>
      <c r="G1442" s="370">
        <f t="shared" si="66"/>
        <v>2.0036627061587929E-5</v>
      </c>
      <c r="H1442" s="370">
        <f t="shared" si="67"/>
        <v>3.6834360227769421E-5</v>
      </c>
      <c r="I1442" s="331">
        <v>26211</v>
      </c>
      <c r="J1442" s="331">
        <v>121239</v>
      </c>
      <c r="K1442" s="331">
        <f t="shared" si="68"/>
        <v>-95028</v>
      </c>
      <c r="L1442" s="199">
        <v>4.1399999999999997</v>
      </c>
      <c r="M1442" s="199">
        <v>3.2</v>
      </c>
    </row>
    <row r="1443" spans="1:13" ht="15" customHeight="1" x14ac:dyDescent="0.25">
      <c r="A1443" s="49">
        <v>1981</v>
      </c>
      <c r="B1443" s="330" t="s">
        <v>42</v>
      </c>
      <c r="C1443" s="331">
        <v>4089052412</v>
      </c>
      <c r="D1443" s="331">
        <v>2233073946</v>
      </c>
      <c r="E1443" s="331">
        <v>92101908</v>
      </c>
      <c r="F1443" s="331">
        <v>77422</v>
      </c>
      <c r="G1443" s="370">
        <f t="shared" si="66"/>
        <v>1.8933971052264419E-5</v>
      </c>
      <c r="H1443" s="370">
        <f t="shared" si="67"/>
        <v>3.4670593931151437E-5</v>
      </c>
      <c r="I1443" s="331">
        <v>41154</v>
      </c>
      <c r="J1443" s="331">
        <v>112034</v>
      </c>
      <c r="K1443" s="331">
        <f t="shared" si="68"/>
        <v>-70880</v>
      </c>
      <c r="L1443" s="199">
        <v>4.12</v>
      </c>
      <c r="M1443" s="199">
        <v>3.2</v>
      </c>
    </row>
    <row r="1444" spans="1:13" ht="15" customHeight="1" x14ac:dyDescent="0.25">
      <c r="A1444" s="49">
        <v>1982</v>
      </c>
      <c r="B1444" s="330" t="s">
        <v>42</v>
      </c>
      <c r="C1444" s="331">
        <v>4213542731</v>
      </c>
      <c r="D1444" s="331">
        <v>2320306586</v>
      </c>
      <c r="E1444" s="331">
        <v>95035071</v>
      </c>
      <c r="F1444" s="331">
        <v>106529</v>
      </c>
      <c r="G1444" s="370">
        <f t="shared" si="66"/>
        <v>2.5282525134073453E-5</v>
      </c>
      <c r="H1444" s="370">
        <f t="shared" si="67"/>
        <v>4.5911605234740304E-5</v>
      </c>
      <c r="I1444" s="331">
        <v>25421</v>
      </c>
      <c r="J1444" s="331">
        <v>101682</v>
      </c>
      <c r="K1444" s="331">
        <f t="shared" si="68"/>
        <v>-76261</v>
      </c>
      <c r="L1444" s="199">
        <v>4.0999999999999996</v>
      </c>
      <c r="M1444" s="199">
        <v>3.25</v>
      </c>
    </row>
    <row r="1445" spans="1:13" ht="15" customHeight="1" x14ac:dyDescent="0.25">
      <c r="A1445" s="49">
        <v>1983</v>
      </c>
      <c r="B1445" s="330" t="s">
        <v>42</v>
      </c>
      <c r="C1445" s="331">
        <v>4585173006</v>
      </c>
      <c r="D1445" s="331">
        <v>2496820085</v>
      </c>
      <c r="E1445" s="331">
        <v>102460543</v>
      </c>
      <c r="F1445" s="331">
        <v>85015</v>
      </c>
      <c r="G1445" s="370">
        <f t="shared" si="66"/>
        <v>1.854128511372467E-5</v>
      </c>
      <c r="H1445" s="370">
        <f t="shared" si="67"/>
        <v>3.4049309564088995E-5</v>
      </c>
      <c r="I1445" s="331">
        <v>42827</v>
      </c>
      <c r="J1445" s="331">
        <v>89557</v>
      </c>
      <c r="K1445" s="331">
        <f t="shared" si="68"/>
        <v>-46730</v>
      </c>
      <c r="L1445" s="199">
        <v>4.0999999999999996</v>
      </c>
      <c r="M1445" s="199">
        <v>3.25</v>
      </c>
    </row>
    <row r="1446" spans="1:13" ht="15" customHeight="1" x14ac:dyDescent="0.25">
      <c r="A1446" s="49">
        <v>1984</v>
      </c>
      <c r="B1446" s="330" t="s">
        <v>42</v>
      </c>
      <c r="C1446" s="331">
        <v>5034871059</v>
      </c>
      <c r="D1446" s="331">
        <v>2816231628</v>
      </c>
      <c r="E1446" s="331">
        <v>116415237</v>
      </c>
      <c r="F1446" s="331">
        <v>66629</v>
      </c>
      <c r="G1446" s="370">
        <f t="shared" si="66"/>
        <v>1.3233506721269145E-5</v>
      </c>
      <c r="H1446" s="370">
        <f t="shared" si="67"/>
        <v>2.3658920430248078E-5</v>
      </c>
      <c r="I1446" s="331">
        <v>20433</v>
      </c>
      <c r="J1446" s="331">
        <v>0</v>
      </c>
      <c r="K1446" s="331">
        <f t="shared" si="68"/>
        <v>20433</v>
      </c>
      <c r="L1446" s="199">
        <v>4.13</v>
      </c>
      <c r="M1446" s="199">
        <v>3.25</v>
      </c>
    </row>
    <row r="1447" spans="1:13" ht="15" customHeight="1" x14ac:dyDescent="0.25">
      <c r="A1447" s="49">
        <v>1985</v>
      </c>
      <c r="B1447" s="330" t="s">
        <v>42</v>
      </c>
      <c r="C1447" s="331">
        <v>5413698999</v>
      </c>
      <c r="D1447" s="331">
        <v>3034534297</v>
      </c>
      <c r="E1447" s="331">
        <v>123009572</v>
      </c>
      <c r="F1447" s="331">
        <v>77212</v>
      </c>
      <c r="G1447" s="370">
        <f t="shared" si="66"/>
        <v>1.4262337084914093E-5</v>
      </c>
      <c r="H1447" s="370">
        <f t="shared" si="67"/>
        <v>2.5444431482067377E-5</v>
      </c>
      <c r="I1447" s="331">
        <v>72737</v>
      </c>
      <c r="J1447" s="331">
        <v>0</v>
      </c>
      <c r="K1447" s="331">
        <f t="shared" si="68"/>
        <v>72737</v>
      </c>
      <c r="L1447" s="199">
        <v>4.05</v>
      </c>
      <c r="M1447" s="199">
        <v>3.25</v>
      </c>
    </row>
    <row r="1448" spans="1:13" ht="15" customHeight="1" x14ac:dyDescent="0.25">
      <c r="A1448" s="49">
        <v>1986</v>
      </c>
      <c r="B1448" s="330" t="s">
        <v>42</v>
      </c>
      <c r="C1448" s="331">
        <v>5922962696</v>
      </c>
      <c r="D1448" s="331">
        <v>3281013741</v>
      </c>
      <c r="E1448" s="331">
        <v>122387599</v>
      </c>
      <c r="F1448" s="331">
        <v>72134</v>
      </c>
      <c r="G1448" s="370">
        <f t="shared" si="66"/>
        <v>1.2178702399850468E-5</v>
      </c>
      <c r="H1448" s="370">
        <f t="shared" si="67"/>
        <v>2.1985278238430882E-5</v>
      </c>
      <c r="I1448" s="331">
        <v>134961</v>
      </c>
      <c r="J1448" s="331">
        <v>0</v>
      </c>
      <c r="K1448" s="331">
        <f t="shared" si="68"/>
        <v>134961</v>
      </c>
      <c r="L1448" s="199">
        <v>3.73</v>
      </c>
      <c r="M1448" s="199">
        <v>3.25</v>
      </c>
    </row>
    <row r="1449" spans="1:13" ht="15" customHeight="1" x14ac:dyDescent="0.25">
      <c r="A1449" s="49">
        <v>1987</v>
      </c>
      <c r="B1449" s="330" t="s">
        <v>42</v>
      </c>
      <c r="C1449" s="331">
        <v>6468039106</v>
      </c>
      <c r="D1449" s="331">
        <v>3530596688</v>
      </c>
      <c r="E1449" s="331">
        <v>127511399</v>
      </c>
      <c r="F1449" s="331">
        <v>65643</v>
      </c>
      <c r="G1449" s="370">
        <f t="shared" si="66"/>
        <v>1.0148825466918876E-5</v>
      </c>
      <c r="H1449" s="370">
        <f t="shared" si="67"/>
        <v>1.8592607935964845E-5</v>
      </c>
      <c r="I1449" s="331">
        <v>216273</v>
      </c>
      <c r="J1449" s="331">
        <v>0</v>
      </c>
      <c r="K1449" s="331">
        <f t="shared" si="68"/>
        <v>216273</v>
      </c>
      <c r="L1449" s="199">
        <v>3.61</v>
      </c>
      <c r="M1449" s="199">
        <v>3.25</v>
      </c>
    </row>
    <row r="1450" spans="1:13" ht="15" customHeight="1" x14ac:dyDescent="0.25">
      <c r="A1450" s="49">
        <v>1988</v>
      </c>
      <c r="B1450" s="330" t="s">
        <v>42</v>
      </c>
      <c r="C1450" s="331">
        <v>7032668211</v>
      </c>
      <c r="D1450" s="331">
        <v>3775337321</v>
      </c>
      <c r="E1450" s="331">
        <v>113793564</v>
      </c>
      <c r="F1450" s="331">
        <v>79423</v>
      </c>
      <c r="G1450" s="370">
        <f t="shared" si="66"/>
        <v>1.1293437656531582E-5</v>
      </c>
      <c r="H1450" s="370">
        <f t="shared" si="67"/>
        <v>2.1037325475055214E-5</v>
      </c>
      <c r="I1450" s="331">
        <v>277176</v>
      </c>
      <c r="J1450" s="331">
        <v>0</v>
      </c>
      <c r="K1450" s="331">
        <f t="shared" si="68"/>
        <v>277176</v>
      </c>
      <c r="L1450" s="199">
        <v>3.01</v>
      </c>
      <c r="M1450" s="199">
        <v>3.25</v>
      </c>
    </row>
    <row r="1451" spans="1:13" ht="15" customHeight="1" x14ac:dyDescent="0.25">
      <c r="A1451" s="49">
        <v>1989</v>
      </c>
      <c r="B1451" s="330" t="s">
        <v>42</v>
      </c>
      <c r="C1451" s="331">
        <v>7512836545</v>
      </c>
      <c r="D1451" s="331">
        <v>4002838059</v>
      </c>
      <c r="E1451" s="331">
        <v>101116940</v>
      </c>
      <c r="F1451" s="331">
        <v>107143</v>
      </c>
      <c r="G1451" s="370">
        <f t="shared" si="66"/>
        <v>1.426132451547966E-5</v>
      </c>
      <c r="H1451" s="370">
        <f t="shared" si="67"/>
        <v>2.6766758589970727E-5</v>
      </c>
      <c r="I1451" s="331">
        <v>303529</v>
      </c>
      <c r="J1451" s="331">
        <v>0</v>
      </c>
      <c r="K1451" s="331">
        <f t="shared" si="68"/>
        <v>303529</v>
      </c>
      <c r="L1451" s="199">
        <v>2.5299999999999998</v>
      </c>
      <c r="M1451" s="199">
        <v>3.25</v>
      </c>
    </row>
    <row r="1452" spans="1:13" ht="15" customHeight="1" x14ac:dyDescent="0.25">
      <c r="A1452" s="49">
        <v>1990</v>
      </c>
      <c r="B1452" s="330" t="s">
        <v>42</v>
      </c>
      <c r="C1452" s="331">
        <v>7403953349</v>
      </c>
      <c r="D1452" s="331">
        <v>4087198421</v>
      </c>
      <c r="E1452" s="331">
        <v>100379673</v>
      </c>
      <c r="F1452" s="331">
        <v>126886</v>
      </c>
      <c r="G1452" s="370">
        <f t="shared" si="66"/>
        <v>1.713760122720622E-5</v>
      </c>
      <c r="H1452" s="370">
        <f t="shared" si="67"/>
        <v>3.1044736988559335E-5</v>
      </c>
      <c r="I1452" s="331">
        <v>263879</v>
      </c>
      <c r="J1452" s="331">
        <v>0</v>
      </c>
      <c r="K1452" s="331">
        <f t="shared" si="68"/>
        <v>263879</v>
      </c>
      <c r="L1452" s="199">
        <v>2.46</v>
      </c>
      <c r="M1452" s="199">
        <v>3.25</v>
      </c>
    </row>
    <row r="1453" spans="1:13" ht="15" customHeight="1" x14ac:dyDescent="0.25">
      <c r="A1453" s="49">
        <v>1991</v>
      </c>
      <c r="B1453" s="330" t="s">
        <v>42</v>
      </c>
      <c r="C1453" s="331">
        <v>7088834231</v>
      </c>
      <c r="D1453" s="331">
        <v>3965754055</v>
      </c>
      <c r="E1453" s="331">
        <v>98894876</v>
      </c>
      <c r="F1453" s="331">
        <v>222339</v>
      </c>
      <c r="G1453" s="370">
        <f t="shared" si="66"/>
        <v>3.1364677569648195E-5</v>
      </c>
      <c r="H1453" s="370">
        <f t="shared" si="67"/>
        <v>5.6064747565390813E-5</v>
      </c>
      <c r="I1453" s="331">
        <v>143617</v>
      </c>
      <c r="J1453" s="331">
        <v>0</v>
      </c>
      <c r="K1453" s="331">
        <f t="shared" si="68"/>
        <v>143617</v>
      </c>
      <c r="L1453" s="199">
        <v>2.4900000000000002</v>
      </c>
      <c r="M1453" s="199">
        <v>3.5</v>
      </c>
    </row>
    <row r="1454" spans="1:13" ht="15" customHeight="1" x14ac:dyDescent="0.25">
      <c r="A1454" s="49">
        <v>1992</v>
      </c>
      <c r="B1454" s="330" t="s">
        <v>42</v>
      </c>
      <c r="C1454" s="331">
        <v>7426473104</v>
      </c>
      <c r="D1454" s="331">
        <v>4125469899</v>
      </c>
      <c r="E1454" s="331">
        <v>144752775</v>
      </c>
      <c r="F1454" s="331">
        <v>195945</v>
      </c>
      <c r="G1454" s="370">
        <f t="shared" si="66"/>
        <v>2.6384664329351888E-5</v>
      </c>
      <c r="H1454" s="370">
        <f t="shared" si="67"/>
        <v>4.7496407632860538E-5</v>
      </c>
      <c r="I1454" s="331">
        <v>104498</v>
      </c>
      <c r="J1454" s="331">
        <v>0</v>
      </c>
      <c r="K1454" s="331">
        <f t="shared" si="68"/>
        <v>104498</v>
      </c>
      <c r="L1454" s="199">
        <v>3.51</v>
      </c>
      <c r="M1454" s="199">
        <v>3.5</v>
      </c>
    </row>
    <row r="1455" spans="1:13" ht="15" customHeight="1" x14ac:dyDescent="0.25">
      <c r="A1455" s="49">
        <v>1993</v>
      </c>
      <c r="B1455" s="330" t="s">
        <v>42</v>
      </c>
      <c r="C1455" s="331">
        <v>7659494682</v>
      </c>
      <c r="D1455" s="331">
        <v>4283780819</v>
      </c>
      <c r="E1455" s="331">
        <v>157222005</v>
      </c>
      <c r="F1455" s="331">
        <v>154461</v>
      </c>
      <c r="G1455" s="370">
        <f t="shared" si="66"/>
        <v>2.0165951725638915E-5</v>
      </c>
      <c r="H1455" s="370">
        <f t="shared" si="67"/>
        <v>3.6057166910807818E-5</v>
      </c>
      <c r="I1455" s="331">
        <v>119294</v>
      </c>
      <c r="J1455" s="331">
        <v>0</v>
      </c>
      <c r="K1455" s="331">
        <f t="shared" si="68"/>
        <v>119294</v>
      </c>
      <c r="L1455" s="199">
        <v>3.67</v>
      </c>
      <c r="M1455" s="199">
        <v>3.5</v>
      </c>
    </row>
    <row r="1456" spans="1:13" ht="15" customHeight="1" x14ac:dyDescent="0.25">
      <c r="A1456" s="49">
        <v>1994</v>
      </c>
      <c r="B1456" s="330" t="s">
        <v>42</v>
      </c>
      <c r="C1456" s="331">
        <v>7904622277</v>
      </c>
      <c r="D1456" s="331">
        <v>4514888845</v>
      </c>
      <c r="E1456" s="331">
        <v>164812128</v>
      </c>
      <c r="F1456" s="331">
        <v>175160</v>
      </c>
      <c r="G1456" s="370">
        <f t="shared" si="66"/>
        <v>2.2159186595121857E-5</v>
      </c>
      <c r="H1456" s="370">
        <f t="shared" si="67"/>
        <v>3.8796082475868792E-5</v>
      </c>
      <c r="I1456" s="331">
        <v>119262</v>
      </c>
      <c r="J1456" s="331">
        <v>0</v>
      </c>
      <c r="K1456" s="331">
        <f t="shared" si="68"/>
        <v>119262</v>
      </c>
      <c r="L1456" s="199">
        <v>3.65</v>
      </c>
      <c r="M1456" s="199">
        <v>3.5</v>
      </c>
    </row>
    <row r="1457" spans="1:13" ht="15" customHeight="1" x14ac:dyDescent="0.25">
      <c r="A1457" s="49">
        <v>1995</v>
      </c>
      <c r="B1457" s="330" t="s">
        <v>42</v>
      </c>
      <c r="C1457" s="331">
        <v>8285571742</v>
      </c>
      <c r="D1457" s="331">
        <v>4659700607</v>
      </c>
      <c r="E1457" s="331">
        <v>171723486</v>
      </c>
      <c r="F1457" s="331">
        <v>182083</v>
      </c>
      <c r="G1457" s="370">
        <f t="shared" si="66"/>
        <v>2.19759125465068E-5</v>
      </c>
      <c r="H1457" s="370">
        <f t="shared" si="67"/>
        <v>3.9076115690022486E-5</v>
      </c>
      <c r="I1457" s="331">
        <v>110086</v>
      </c>
      <c r="J1457" s="331">
        <v>0</v>
      </c>
      <c r="K1457" s="331">
        <f t="shared" si="68"/>
        <v>110086</v>
      </c>
      <c r="L1457" s="199">
        <v>3.69</v>
      </c>
      <c r="M1457" s="199">
        <v>2.93</v>
      </c>
    </row>
    <row r="1458" spans="1:13" ht="15" customHeight="1" x14ac:dyDescent="0.25">
      <c r="A1458" s="49">
        <v>1996</v>
      </c>
      <c r="B1458" s="330" t="s">
        <v>42</v>
      </c>
      <c r="C1458" s="331">
        <v>8532845398</v>
      </c>
      <c r="D1458" s="331">
        <v>4747046239</v>
      </c>
      <c r="E1458" s="331">
        <v>174872075</v>
      </c>
      <c r="F1458" s="331">
        <v>183120</v>
      </c>
      <c r="G1458" s="370">
        <f t="shared" si="66"/>
        <v>2.1460602115552358E-5</v>
      </c>
      <c r="H1458" s="370">
        <f t="shared" si="67"/>
        <v>3.8575566948464266E-5</v>
      </c>
      <c r="I1458" s="331">
        <v>116240</v>
      </c>
      <c r="J1458" s="331">
        <v>0</v>
      </c>
      <c r="K1458" s="331">
        <f t="shared" si="68"/>
        <v>116240</v>
      </c>
      <c r="L1458" s="199">
        <v>3.68</v>
      </c>
      <c r="M1458" s="199">
        <v>2.93</v>
      </c>
    </row>
    <row r="1459" spans="1:13" ht="15" customHeight="1" x14ac:dyDescent="0.25">
      <c r="A1459" s="49">
        <v>1997</v>
      </c>
      <c r="B1459" s="330" t="s">
        <v>42</v>
      </c>
      <c r="C1459" s="331">
        <v>9147590523</v>
      </c>
      <c r="D1459" s="331">
        <v>5020636896</v>
      </c>
      <c r="E1459" s="331">
        <v>183081238</v>
      </c>
      <c r="F1459" s="331">
        <v>149937</v>
      </c>
      <c r="G1459" s="370">
        <f t="shared" si="66"/>
        <v>1.6390873599229208E-5</v>
      </c>
      <c r="H1459" s="370">
        <f t="shared" si="67"/>
        <v>2.9864139372328749E-5</v>
      </c>
      <c r="I1459" s="331">
        <v>160044</v>
      </c>
      <c r="J1459" s="331">
        <v>0</v>
      </c>
      <c r="K1459" s="331">
        <f t="shared" si="68"/>
        <v>160044</v>
      </c>
      <c r="L1459" s="199">
        <v>3.65</v>
      </c>
      <c r="M1459" s="199">
        <v>2.93</v>
      </c>
    </row>
    <row r="1460" spans="1:13" ht="15" customHeight="1" x14ac:dyDescent="0.25">
      <c r="A1460" s="49">
        <v>1998</v>
      </c>
      <c r="B1460" s="330" t="s">
        <v>42</v>
      </c>
      <c r="C1460" s="331">
        <v>9814348312</v>
      </c>
      <c r="D1460" s="331">
        <v>5292286874</v>
      </c>
      <c r="E1460" s="331">
        <v>181240662</v>
      </c>
      <c r="F1460" s="331">
        <v>133824</v>
      </c>
      <c r="G1460" s="370">
        <f t="shared" si="66"/>
        <v>1.3635546217202567E-5</v>
      </c>
      <c r="H1460" s="370">
        <f t="shared" si="67"/>
        <v>2.528661109764323E-5</v>
      </c>
      <c r="I1460" s="331">
        <v>224258</v>
      </c>
      <c r="J1460" s="331">
        <v>0</v>
      </c>
      <c r="K1460" s="331">
        <f t="shared" si="68"/>
        <v>224258</v>
      </c>
      <c r="L1460" s="199">
        <v>3.42</v>
      </c>
      <c r="M1460" s="199">
        <v>2.93</v>
      </c>
    </row>
    <row r="1461" spans="1:13" ht="15" customHeight="1" x14ac:dyDescent="0.25">
      <c r="A1461" s="49">
        <v>1999</v>
      </c>
      <c r="B1461" s="330" t="s">
        <v>42</v>
      </c>
      <c r="C1461" s="331">
        <v>10393883246</v>
      </c>
      <c r="D1461" s="331">
        <v>4661482584</v>
      </c>
      <c r="E1461" s="331">
        <v>152759057</v>
      </c>
      <c r="F1461" s="331">
        <v>139401</v>
      </c>
      <c r="G1461" s="370">
        <f t="shared" si="66"/>
        <v>1.3411830468044494E-5</v>
      </c>
      <c r="H1461" s="370">
        <f t="shared" si="67"/>
        <v>2.9904863418020227E-5</v>
      </c>
      <c r="I1461" s="331">
        <v>263810</v>
      </c>
      <c r="J1461" s="331">
        <v>0</v>
      </c>
      <c r="K1461" s="331">
        <f t="shared" si="68"/>
        <v>263810</v>
      </c>
      <c r="L1461" s="199">
        <v>3.28</v>
      </c>
      <c r="M1461" s="199">
        <v>2.93</v>
      </c>
    </row>
    <row r="1462" spans="1:13" ht="15" customHeight="1" x14ac:dyDescent="0.25">
      <c r="A1462" s="49">
        <v>2000</v>
      </c>
      <c r="B1462" s="330" t="s">
        <v>42</v>
      </c>
      <c r="C1462" s="331">
        <v>11203455813</v>
      </c>
      <c r="D1462" s="331">
        <v>4402666178</v>
      </c>
      <c r="E1462" s="331">
        <v>139350665</v>
      </c>
      <c r="F1462" s="331">
        <v>135677</v>
      </c>
      <c r="G1462" s="370">
        <f t="shared" si="66"/>
        <v>1.2110281172579478E-5</v>
      </c>
      <c r="H1462" s="370">
        <f t="shared" si="67"/>
        <v>3.081700826603075E-5</v>
      </c>
      <c r="I1462" s="331">
        <v>292892</v>
      </c>
      <c r="J1462" s="331">
        <v>0</v>
      </c>
      <c r="K1462" s="331">
        <f t="shared" si="68"/>
        <v>292892</v>
      </c>
      <c r="L1462" s="199">
        <v>3.17</v>
      </c>
      <c r="M1462" s="199">
        <v>2.93</v>
      </c>
    </row>
    <row r="1463" spans="1:13" ht="15" customHeight="1" x14ac:dyDescent="0.25">
      <c r="A1463" s="49">
        <v>2001</v>
      </c>
      <c r="B1463" s="330" t="s">
        <v>42</v>
      </c>
      <c r="C1463" s="331">
        <v>11489669885</v>
      </c>
      <c r="D1463" s="331">
        <v>4398491367</v>
      </c>
      <c r="E1463" s="331">
        <v>131367254</v>
      </c>
      <c r="F1463" s="331">
        <v>173383</v>
      </c>
      <c r="G1463" s="370">
        <f t="shared" si="66"/>
        <v>1.5090337819570872E-5</v>
      </c>
      <c r="H1463" s="370">
        <f t="shared" si="67"/>
        <v>3.9418742821872637E-5</v>
      </c>
      <c r="I1463" s="331">
        <v>277782</v>
      </c>
      <c r="J1463" s="331">
        <v>0</v>
      </c>
      <c r="K1463" s="331">
        <f t="shared" si="68"/>
        <v>277782</v>
      </c>
      <c r="L1463" s="199">
        <v>2.99</v>
      </c>
      <c r="M1463" s="199">
        <v>2.93</v>
      </c>
    </row>
    <row r="1464" spans="1:13" ht="15" customHeight="1" x14ac:dyDescent="0.25">
      <c r="A1464" s="49">
        <v>2002</v>
      </c>
      <c r="B1464" s="330" t="s">
        <v>42</v>
      </c>
      <c r="C1464" s="331">
        <v>11709504860</v>
      </c>
      <c r="D1464" s="331">
        <v>4378171248</v>
      </c>
      <c r="E1464" s="331">
        <v>128132419</v>
      </c>
      <c r="F1464" s="331">
        <v>203128</v>
      </c>
      <c r="G1464" s="370">
        <f t="shared" si="66"/>
        <v>1.7347274921409445E-5</v>
      </c>
      <c r="H1464" s="370">
        <f t="shared" si="67"/>
        <v>4.6395626962465491E-5</v>
      </c>
      <c r="I1464" s="331">
        <v>254112</v>
      </c>
      <c r="J1464" s="331">
        <v>0</v>
      </c>
      <c r="K1464" s="331">
        <f t="shared" si="68"/>
        <v>254112</v>
      </c>
      <c r="L1464" s="199">
        <v>2.93</v>
      </c>
      <c r="M1464" s="199">
        <v>2.93</v>
      </c>
    </row>
    <row r="1465" spans="1:13" ht="15" customHeight="1" x14ac:dyDescent="0.25">
      <c r="A1465" s="49">
        <v>2003</v>
      </c>
      <c r="B1465" s="330" t="s">
        <v>42</v>
      </c>
      <c r="C1465" s="331">
        <v>12394491562</v>
      </c>
      <c r="D1465" s="331">
        <v>4458302626</v>
      </c>
      <c r="E1465" s="331">
        <v>135866286</v>
      </c>
      <c r="F1465" s="331">
        <v>206147</v>
      </c>
      <c r="G1465" s="370">
        <f t="shared" si="66"/>
        <v>1.6632146544197227E-5</v>
      </c>
      <c r="H1465" s="370">
        <f t="shared" si="67"/>
        <v>4.6238897915495612E-5</v>
      </c>
      <c r="I1465" s="331">
        <v>203277</v>
      </c>
      <c r="J1465" s="331">
        <v>0</v>
      </c>
      <c r="K1465" s="331">
        <f t="shared" si="68"/>
        <v>203277</v>
      </c>
      <c r="L1465" s="199">
        <v>3.05</v>
      </c>
      <c r="M1465" s="199">
        <v>2.93</v>
      </c>
    </row>
    <row r="1466" spans="1:13" ht="15" customHeight="1" x14ac:dyDescent="0.25">
      <c r="A1466" s="49">
        <v>2004</v>
      </c>
      <c r="B1466" s="330" t="s">
        <v>42</v>
      </c>
      <c r="C1466" s="331">
        <v>12875324897</v>
      </c>
      <c r="D1466" s="331">
        <v>5076054123</v>
      </c>
      <c r="E1466" s="331">
        <v>161718316</v>
      </c>
      <c r="F1466" s="331">
        <v>202267</v>
      </c>
      <c r="G1466" s="370">
        <f t="shared" si="66"/>
        <v>1.5709661823534176E-5</v>
      </c>
      <c r="H1466" s="370">
        <f t="shared" si="67"/>
        <v>3.9847289863106926E-5</v>
      </c>
      <c r="I1466" s="331">
        <v>175762</v>
      </c>
      <c r="J1466" s="331">
        <v>0</v>
      </c>
      <c r="K1466" s="331">
        <f t="shared" si="68"/>
        <v>175762</v>
      </c>
      <c r="L1466" s="199">
        <v>3.19</v>
      </c>
      <c r="M1466" s="199">
        <v>2.93</v>
      </c>
    </row>
    <row r="1467" spans="1:13" ht="15" customHeight="1" x14ac:dyDescent="0.25">
      <c r="A1467" s="49">
        <v>2005</v>
      </c>
      <c r="B1467" s="330" t="s">
        <v>42</v>
      </c>
      <c r="C1467" s="331">
        <v>13330135160</v>
      </c>
      <c r="D1467" s="331">
        <v>5640006606</v>
      </c>
      <c r="E1467" s="331">
        <v>185340938</v>
      </c>
      <c r="F1467" s="331">
        <v>200100</v>
      </c>
      <c r="G1467" s="370">
        <f t="shared" si="66"/>
        <v>1.5011100607625047E-5</v>
      </c>
      <c r="H1467" s="370">
        <f t="shared" si="67"/>
        <v>3.547868184890562E-5</v>
      </c>
      <c r="I1467" s="331">
        <v>178101</v>
      </c>
      <c r="J1467" s="331">
        <v>0</v>
      </c>
      <c r="K1467" s="331">
        <f t="shared" si="68"/>
        <v>178101</v>
      </c>
      <c r="L1467" s="199">
        <v>3.29</v>
      </c>
      <c r="M1467" s="199">
        <v>2.93</v>
      </c>
    </row>
    <row r="1468" spans="1:13" ht="15" customHeight="1" x14ac:dyDescent="0.25">
      <c r="A1468" s="49">
        <v>2006</v>
      </c>
      <c r="B1468" s="330" t="s">
        <v>42</v>
      </c>
      <c r="C1468" s="331">
        <v>14028184854</v>
      </c>
      <c r="D1468" s="331">
        <v>5737186711</v>
      </c>
      <c r="E1468" s="331">
        <v>191569992</v>
      </c>
      <c r="F1468" s="331">
        <v>195162</v>
      </c>
      <c r="G1468" s="370">
        <f t="shared" si="66"/>
        <v>1.3912134893514143E-5</v>
      </c>
      <c r="H1468" s="370">
        <f t="shared" si="67"/>
        <v>3.4017020855502712E-5</v>
      </c>
      <c r="I1468" s="331">
        <v>193196</v>
      </c>
      <c r="J1468" s="331">
        <v>0</v>
      </c>
      <c r="K1468" s="331">
        <f t="shared" si="68"/>
        <v>193196</v>
      </c>
      <c r="L1468" s="199">
        <v>3.34</v>
      </c>
      <c r="M1468" s="199">
        <v>2.93</v>
      </c>
    </row>
    <row r="1469" spans="1:13" ht="15" customHeight="1" x14ac:dyDescent="0.25">
      <c r="A1469" s="49">
        <v>2007</v>
      </c>
      <c r="B1469" s="330" t="s">
        <v>42</v>
      </c>
      <c r="C1469" s="331">
        <v>14388033727</v>
      </c>
      <c r="D1469" s="331">
        <v>5209114108</v>
      </c>
      <c r="E1469" s="331">
        <v>174876987</v>
      </c>
      <c r="F1469" s="331">
        <v>228046</v>
      </c>
      <c r="G1469" s="370">
        <f t="shared" si="66"/>
        <v>1.5849698737643222E-5</v>
      </c>
      <c r="H1469" s="370">
        <f t="shared" si="67"/>
        <v>4.3778269254991716E-5</v>
      </c>
      <c r="I1469" s="331">
        <v>159901</v>
      </c>
      <c r="J1469" s="331">
        <v>0</v>
      </c>
      <c r="K1469" s="331">
        <f t="shared" si="68"/>
        <v>159901</v>
      </c>
      <c r="L1469" s="199">
        <v>3.36</v>
      </c>
      <c r="M1469" s="199">
        <v>2.93</v>
      </c>
    </row>
    <row r="1470" spans="1:13" ht="15" customHeight="1" x14ac:dyDescent="0.25">
      <c r="A1470" s="49">
        <v>2008</v>
      </c>
      <c r="B1470" s="330" t="s">
        <v>42</v>
      </c>
      <c r="C1470" s="331">
        <v>14374139506</v>
      </c>
      <c r="D1470" s="331">
        <v>5034401925</v>
      </c>
      <c r="E1470" s="331">
        <v>168787952</v>
      </c>
      <c r="F1470" s="331">
        <v>276037</v>
      </c>
      <c r="G1470" s="370">
        <f t="shared" si="66"/>
        <v>1.9203723456613016E-5</v>
      </c>
      <c r="H1470" s="370">
        <f t="shared" si="67"/>
        <v>5.4830147475759993E-5</v>
      </c>
      <c r="I1470" s="331">
        <v>73858</v>
      </c>
      <c r="J1470" s="331">
        <v>0</v>
      </c>
      <c r="K1470" s="331">
        <f t="shared" si="68"/>
        <v>73858</v>
      </c>
      <c r="L1470" s="199">
        <v>3.4</v>
      </c>
      <c r="M1470" s="199">
        <v>2.93</v>
      </c>
    </row>
    <row r="1471" spans="1:13" x14ac:dyDescent="0.25">
      <c r="A1471" s="49">
        <v>2009</v>
      </c>
      <c r="B1471" s="330" t="s">
        <v>42</v>
      </c>
      <c r="C1471" s="331">
        <v>13569821650</v>
      </c>
      <c r="D1471" s="331">
        <v>5658576514</v>
      </c>
      <c r="E1471" s="331">
        <v>190785232</v>
      </c>
      <c r="F1471" s="331">
        <v>406798</v>
      </c>
      <c r="G1471" s="370">
        <f t="shared" si="66"/>
        <v>2.997813902734676E-5</v>
      </c>
      <c r="H1471" s="370">
        <f t="shared" si="67"/>
        <v>7.1890518577160303E-5</v>
      </c>
      <c r="I1471" s="331">
        <v>1930</v>
      </c>
      <c r="J1471" s="331">
        <v>127522</v>
      </c>
      <c r="K1471" s="331">
        <f t="shared" si="68"/>
        <v>-125592</v>
      </c>
      <c r="L1471" s="199">
        <v>3.4</v>
      </c>
      <c r="M1471" s="199">
        <v>3.01</v>
      </c>
    </row>
    <row r="1472" spans="1:13" ht="15" customHeight="1" x14ac:dyDescent="0.25">
      <c r="A1472" s="49">
        <v>2010</v>
      </c>
      <c r="B1472" s="330" t="s">
        <v>42</v>
      </c>
      <c r="C1472" s="331">
        <v>13928652717</v>
      </c>
      <c r="D1472" s="331">
        <v>5851947956</v>
      </c>
      <c r="E1472" s="331">
        <v>214903014</v>
      </c>
      <c r="F1472" s="331">
        <v>311585</v>
      </c>
      <c r="G1472" s="370">
        <f t="shared" si="66"/>
        <v>2.2370074574384981E-5</v>
      </c>
      <c r="H1472" s="370">
        <f t="shared" si="67"/>
        <v>5.3244663544987958E-5</v>
      </c>
      <c r="I1472" s="331">
        <v>37169</v>
      </c>
      <c r="J1472" s="331">
        <v>225473</v>
      </c>
      <c r="K1472" s="331">
        <f t="shared" si="68"/>
        <v>-188304</v>
      </c>
      <c r="L1472" s="199">
        <v>3.7</v>
      </c>
      <c r="M1472" s="199">
        <v>3.01</v>
      </c>
    </row>
    <row r="1473" spans="1:13" ht="15" customHeight="1" x14ac:dyDescent="0.25">
      <c r="A1473" s="49">
        <v>2011</v>
      </c>
      <c r="B1473" s="330" t="s">
        <v>42</v>
      </c>
      <c r="C1473" s="331">
        <v>14347669521</v>
      </c>
      <c r="D1473" s="331">
        <v>5959495244</v>
      </c>
      <c r="E1473" s="331">
        <v>225882802</v>
      </c>
      <c r="F1473" s="331">
        <v>283631</v>
      </c>
      <c r="G1473" s="370">
        <f t="shared" si="66"/>
        <v>1.9768436928719528E-5</v>
      </c>
      <c r="H1473" s="370">
        <f t="shared" si="67"/>
        <v>4.7593124650205695E-5</v>
      </c>
      <c r="I1473" s="331">
        <v>1123</v>
      </c>
      <c r="J1473" s="331">
        <v>228251</v>
      </c>
      <c r="K1473" s="331">
        <f t="shared" si="68"/>
        <v>-227128</v>
      </c>
      <c r="L1473" s="199">
        <v>3.8</v>
      </c>
      <c r="M1473" s="199">
        <v>3.01</v>
      </c>
    </row>
    <row r="1474" spans="1:13" ht="15" customHeight="1" x14ac:dyDescent="0.25">
      <c r="A1474" s="49">
        <v>2012</v>
      </c>
      <c r="B1474" s="330" t="s">
        <v>42</v>
      </c>
      <c r="C1474" s="331">
        <v>14903858410</v>
      </c>
      <c r="D1474" s="331">
        <v>6217332406</v>
      </c>
      <c r="E1474" s="331">
        <v>239405564</v>
      </c>
      <c r="F1474" s="331">
        <v>249963</v>
      </c>
      <c r="G1474" s="370">
        <f t="shared" ref="G1474:G1537" si="69">F1474/C1474</f>
        <v>1.6771697175563813E-5</v>
      </c>
      <c r="H1474" s="370">
        <f t="shared" ref="H1474:H1537" si="70">F1474/D1474</f>
        <v>4.0204220021881841E-5</v>
      </c>
      <c r="I1474" s="331">
        <v>775</v>
      </c>
      <c r="J1474" s="331">
        <v>199378</v>
      </c>
      <c r="K1474" s="331">
        <f t="shared" ref="K1474:K1537" si="71">I1474-J1474</f>
        <v>-198603</v>
      </c>
      <c r="L1474" s="199">
        <v>3.85</v>
      </c>
      <c r="M1474" s="199">
        <v>3.01</v>
      </c>
    </row>
    <row r="1475" spans="1:13" ht="15" customHeight="1" x14ac:dyDescent="0.25">
      <c r="A1475" s="49">
        <v>2013</v>
      </c>
      <c r="B1475" s="330" t="s">
        <v>42</v>
      </c>
      <c r="C1475" s="331">
        <v>15480663004</v>
      </c>
      <c r="D1475" s="331">
        <v>6477783165</v>
      </c>
      <c r="E1475" s="331">
        <v>247778274</v>
      </c>
      <c r="F1475" s="331">
        <v>199863</v>
      </c>
      <c r="G1475" s="370">
        <f t="shared" si="69"/>
        <v>1.2910493558858431E-5</v>
      </c>
      <c r="H1475" s="370">
        <f t="shared" si="70"/>
        <v>3.0853610704334221E-5</v>
      </c>
      <c r="I1475" s="331">
        <v>282</v>
      </c>
      <c r="J1475" s="331">
        <v>109286</v>
      </c>
      <c r="K1475" s="331">
        <f t="shared" si="71"/>
        <v>-109004</v>
      </c>
      <c r="L1475" s="199">
        <v>3.82</v>
      </c>
      <c r="M1475" s="199">
        <v>3.01</v>
      </c>
    </row>
    <row r="1476" spans="1:13" ht="15" customHeight="1" x14ac:dyDescent="0.25">
      <c r="A1476" s="49">
        <v>2014</v>
      </c>
      <c r="B1476" s="330" t="s">
        <v>42</v>
      </c>
      <c r="C1476" s="331">
        <v>16515876568</v>
      </c>
      <c r="D1476" s="331">
        <v>6857335758</v>
      </c>
      <c r="E1476" s="331">
        <v>254177681</v>
      </c>
      <c r="F1476" s="331">
        <v>179072</v>
      </c>
      <c r="G1476" s="370">
        <f t="shared" si="69"/>
        <v>1.0842415736319882E-5</v>
      </c>
      <c r="H1476" s="370">
        <f t="shared" si="70"/>
        <v>2.6113932045851559E-5</v>
      </c>
      <c r="I1476" s="331">
        <v>16262</v>
      </c>
      <c r="J1476" s="331">
        <v>0</v>
      </c>
      <c r="K1476" s="331">
        <f t="shared" si="71"/>
        <v>16262</v>
      </c>
      <c r="L1476" s="333">
        <v>3.7066535746549634</v>
      </c>
      <c r="M1476" s="199">
        <v>3.01</v>
      </c>
    </row>
    <row r="1477" spans="1:13" ht="15" customHeight="1" x14ac:dyDescent="0.25">
      <c r="A1477" s="49">
        <v>2015</v>
      </c>
      <c r="B1477" s="330" t="s">
        <v>42</v>
      </c>
      <c r="C1477" s="334">
        <v>17309315000</v>
      </c>
      <c r="D1477" s="334">
        <v>7237311000</v>
      </c>
      <c r="E1477" s="334">
        <v>256925000</v>
      </c>
      <c r="F1477" s="331">
        <v>154010</v>
      </c>
      <c r="G1477" s="370">
        <f t="shared" si="69"/>
        <v>8.8975213634970538E-6</v>
      </c>
      <c r="H1477" s="370">
        <f t="shared" si="70"/>
        <v>2.1280003028749214E-5</v>
      </c>
      <c r="I1477" s="331">
        <v>131921</v>
      </c>
      <c r="J1477" s="199">
        <v>0</v>
      </c>
      <c r="K1477" s="331">
        <f t="shared" si="71"/>
        <v>131921</v>
      </c>
      <c r="L1477" s="199">
        <v>3.6</v>
      </c>
      <c r="M1477" s="199">
        <v>3.01</v>
      </c>
    </row>
    <row r="1478" spans="1:13" ht="15" customHeight="1" x14ac:dyDescent="0.25">
      <c r="A1478" s="49">
        <v>1980</v>
      </c>
      <c r="B1478" s="330" t="s">
        <v>43</v>
      </c>
      <c r="C1478" s="331">
        <v>11025292267</v>
      </c>
      <c r="D1478" s="331">
        <v>5559319330</v>
      </c>
      <c r="E1478" s="331">
        <v>114463244</v>
      </c>
      <c r="F1478" s="331">
        <v>124314</v>
      </c>
      <c r="G1478" s="370">
        <f t="shared" si="69"/>
        <v>1.1275347354925589E-5</v>
      </c>
      <c r="H1478" s="370">
        <f t="shared" si="70"/>
        <v>2.2361370632041027E-5</v>
      </c>
      <c r="I1478" s="331">
        <v>198045</v>
      </c>
      <c r="J1478" s="331">
        <v>0</v>
      </c>
      <c r="K1478" s="331">
        <f t="shared" si="71"/>
        <v>198045</v>
      </c>
      <c r="L1478" s="199">
        <v>2.06</v>
      </c>
      <c r="M1478" s="199">
        <v>1.8</v>
      </c>
    </row>
    <row r="1479" spans="1:13" ht="15" customHeight="1" x14ac:dyDescent="0.25">
      <c r="A1479" s="49">
        <v>1981</v>
      </c>
      <c r="B1479" s="330" t="s">
        <v>43</v>
      </c>
      <c r="C1479" s="331">
        <v>12073263822</v>
      </c>
      <c r="D1479" s="331">
        <v>5744130379</v>
      </c>
      <c r="E1479" s="331">
        <v>109108774</v>
      </c>
      <c r="F1479" s="331">
        <v>133197</v>
      </c>
      <c r="G1479" s="370">
        <f t="shared" si="69"/>
        <v>1.1032393722506695E-5</v>
      </c>
      <c r="H1479" s="370">
        <f t="shared" si="70"/>
        <v>2.3188366421304728E-5</v>
      </c>
      <c r="I1479" s="331">
        <v>187783</v>
      </c>
      <c r="J1479" s="331">
        <v>0</v>
      </c>
      <c r="K1479" s="331">
        <f t="shared" si="71"/>
        <v>187783</v>
      </c>
      <c r="L1479" s="199">
        <v>1.9</v>
      </c>
      <c r="M1479" s="199">
        <v>1.8</v>
      </c>
    </row>
    <row r="1480" spans="1:13" ht="15" customHeight="1" x14ac:dyDescent="0.25">
      <c r="A1480" s="49">
        <v>1982</v>
      </c>
      <c r="B1480" s="330" t="s">
        <v>43</v>
      </c>
      <c r="C1480" s="331">
        <v>12346767698</v>
      </c>
      <c r="D1480" s="331">
        <v>5572041166</v>
      </c>
      <c r="E1480" s="331">
        <v>105758209</v>
      </c>
      <c r="F1480" s="331">
        <v>238869</v>
      </c>
      <c r="G1480" s="370">
        <f t="shared" si="69"/>
        <v>1.9346682941049694E-5</v>
      </c>
      <c r="H1480" s="370">
        <f t="shared" si="70"/>
        <v>4.2869209484228709E-5</v>
      </c>
      <c r="I1480" s="331">
        <v>50447</v>
      </c>
      <c r="J1480" s="331">
        <v>0</v>
      </c>
      <c r="K1480" s="331">
        <f t="shared" si="71"/>
        <v>50447</v>
      </c>
      <c r="L1480" s="199">
        <v>1.9</v>
      </c>
      <c r="M1480" s="199">
        <v>2.1</v>
      </c>
    </row>
    <row r="1481" spans="1:13" ht="15" customHeight="1" x14ac:dyDescent="0.25">
      <c r="A1481" s="49">
        <v>1983</v>
      </c>
      <c r="B1481" s="330" t="s">
        <v>43</v>
      </c>
      <c r="C1481" s="331">
        <v>13495936711</v>
      </c>
      <c r="D1481" s="331">
        <v>6457414911</v>
      </c>
      <c r="E1481" s="331">
        <v>127888375</v>
      </c>
      <c r="F1481" s="331">
        <v>150363</v>
      </c>
      <c r="G1481" s="370">
        <f t="shared" si="69"/>
        <v>1.1141353373230116E-5</v>
      </c>
      <c r="H1481" s="370">
        <f t="shared" si="70"/>
        <v>2.328532424699262E-5</v>
      </c>
      <c r="I1481" s="331">
        <v>19127</v>
      </c>
      <c r="J1481" s="331">
        <v>0</v>
      </c>
      <c r="K1481" s="331">
        <f t="shared" si="71"/>
        <v>19127</v>
      </c>
      <c r="L1481" s="199">
        <v>1.98</v>
      </c>
      <c r="M1481" s="199">
        <v>2.1</v>
      </c>
    </row>
    <row r="1482" spans="1:13" ht="15" customHeight="1" x14ac:dyDescent="0.25">
      <c r="A1482" s="49">
        <v>1984</v>
      </c>
      <c r="B1482" s="330" t="s">
        <v>43</v>
      </c>
      <c r="C1482" s="331">
        <v>15106918796</v>
      </c>
      <c r="D1482" s="331">
        <v>7027395784</v>
      </c>
      <c r="E1482" s="331">
        <v>149086920</v>
      </c>
      <c r="F1482" s="331">
        <v>107144</v>
      </c>
      <c r="G1482" s="370">
        <f t="shared" si="69"/>
        <v>7.0923794220943003E-6</v>
      </c>
      <c r="H1482" s="370">
        <f t="shared" si="70"/>
        <v>1.5246615288688569E-5</v>
      </c>
      <c r="I1482" s="331">
        <v>64674</v>
      </c>
      <c r="J1482" s="331">
        <v>0</v>
      </c>
      <c r="K1482" s="331">
        <f t="shared" si="71"/>
        <v>64674</v>
      </c>
      <c r="L1482" s="199">
        <v>2.12</v>
      </c>
      <c r="M1482" s="199">
        <v>2.1</v>
      </c>
    </row>
    <row r="1483" spans="1:13" ht="15" customHeight="1" x14ac:dyDescent="0.25">
      <c r="A1483" s="49">
        <v>1985</v>
      </c>
      <c r="B1483" s="330" t="s">
        <v>43</v>
      </c>
      <c r="C1483" s="331">
        <v>16008633624</v>
      </c>
      <c r="D1483" s="331">
        <v>7194364146</v>
      </c>
      <c r="E1483" s="331">
        <v>151846846</v>
      </c>
      <c r="F1483" s="331">
        <v>141387</v>
      </c>
      <c r="G1483" s="370">
        <f t="shared" si="69"/>
        <v>8.8319217817586809E-6</v>
      </c>
      <c r="H1483" s="370">
        <f t="shared" si="70"/>
        <v>1.9652466448839661E-5</v>
      </c>
      <c r="I1483" s="331">
        <v>82597</v>
      </c>
      <c r="J1483" s="331">
        <v>0</v>
      </c>
      <c r="K1483" s="331">
        <f t="shared" si="71"/>
        <v>82597</v>
      </c>
      <c r="L1483" s="199">
        <v>2.11</v>
      </c>
      <c r="M1483" s="199">
        <v>2.1</v>
      </c>
    </row>
    <row r="1484" spans="1:13" ht="15" customHeight="1" x14ac:dyDescent="0.25">
      <c r="A1484" s="49">
        <v>1986</v>
      </c>
      <c r="B1484" s="330" t="s">
        <v>43</v>
      </c>
      <c r="C1484" s="331">
        <v>17078396399</v>
      </c>
      <c r="D1484" s="331">
        <v>7447281255</v>
      </c>
      <c r="E1484" s="331">
        <v>149864436</v>
      </c>
      <c r="F1484" s="331">
        <v>110371</v>
      </c>
      <c r="G1484" s="370">
        <f t="shared" si="69"/>
        <v>6.4626091010782841E-6</v>
      </c>
      <c r="H1484" s="370">
        <f t="shared" si="70"/>
        <v>1.4820307736584872E-5</v>
      </c>
      <c r="I1484" s="331">
        <v>131595</v>
      </c>
      <c r="J1484" s="331">
        <v>0</v>
      </c>
      <c r="K1484" s="331">
        <f t="shared" si="71"/>
        <v>131595</v>
      </c>
      <c r="L1484" s="199">
        <v>2.0099999999999998</v>
      </c>
      <c r="M1484" s="199">
        <v>2.1</v>
      </c>
    </row>
    <row r="1485" spans="1:13" ht="15" customHeight="1" x14ac:dyDescent="0.25">
      <c r="A1485" s="49">
        <v>1987</v>
      </c>
      <c r="B1485" s="330" t="s">
        <v>43</v>
      </c>
      <c r="C1485" s="331">
        <v>18561035790</v>
      </c>
      <c r="D1485" s="331">
        <v>7868866469</v>
      </c>
      <c r="E1485" s="331">
        <v>156650931</v>
      </c>
      <c r="F1485" s="331">
        <v>86379</v>
      </c>
      <c r="G1485" s="370">
        <f t="shared" si="69"/>
        <v>4.6537812316776963E-6</v>
      </c>
      <c r="H1485" s="370">
        <f t="shared" si="70"/>
        <v>1.0977311705605459E-5</v>
      </c>
      <c r="I1485" s="331">
        <v>215202</v>
      </c>
      <c r="J1485" s="331">
        <v>0</v>
      </c>
      <c r="K1485" s="331">
        <f t="shared" si="71"/>
        <v>215202</v>
      </c>
      <c r="L1485" s="199">
        <v>1.99</v>
      </c>
      <c r="M1485" s="199">
        <v>2.1</v>
      </c>
    </row>
    <row r="1486" spans="1:13" ht="15" customHeight="1" x14ac:dyDescent="0.25">
      <c r="A1486" s="49">
        <v>1988</v>
      </c>
      <c r="B1486" s="330" t="s">
        <v>43</v>
      </c>
      <c r="C1486" s="331">
        <v>20309506053</v>
      </c>
      <c r="D1486" s="331">
        <v>8353009749</v>
      </c>
      <c r="E1486" s="331">
        <v>162009989</v>
      </c>
      <c r="F1486" s="331">
        <v>80820</v>
      </c>
      <c r="G1486" s="370">
        <f t="shared" si="69"/>
        <v>3.9794173127150844E-6</v>
      </c>
      <c r="H1486" s="370">
        <f t="shared" si="70"/>
        <v>9.6755543724434838E-6</v>
      </c>
      <c r="I1486" s="331">
        <v>319969</v>
      </c>
      <c r="J1486" s="331">
        <v>0</v>
      </c>
      <c r="K1486" s="331">
        <f t="shared" si="71"/>
        <v>319969</v>
      </c>
      <c r="L1486" s="199">
        <v>1.94</v>
      </c>
      <c r="M1486" s="199">
        <v>2.1</v>
      </c>
    </row>
    <row r="1487" spans="1:13" ht="15" customHeight="1" x14ac:dyDescent="0.25">
      <c r="A1487" s="49">
        <v>1989</v>
      </c>
      <c r="B1487" s="330" t="s">
        <v>43</v>
      </c>
      <c r="C1487" s="331">
        <v>21835984622</v>
      </c>
      <c r="D1487" s="331">
        <v>8740884047</v>
      </c>
      <c r="E1487" s="331">
        <v>166876760</v>
      </c>
      <c r="F1487" s="331">
        <v>102390</v>
      </c>
      <c r="G1487" s="370">
        <f t="shared" si="69"/>
        <v>4.6890489150116416E-6</v>
      </c>
      <c r="H1487" s="370">
        <f t="shared" si="70"/>
        <v>1.1713918117371864E-5</v>
      </c>
      <c r="I1487" s="331">
        <v>414971</v>
      </c>
      <c r="J1487" s="331">
        <v>0</v>
      </c>
      <c r="K1487" s="331">
        <f t="shared" si="71"/>
        <v>414971</v>
      </c>
      <c r="L1487" s="199">
        <v>1.91</v>
      </c>
      <c r="M1487" s="199">
        <v>2.1</v>
      </c>
    </row>
    <row r="1488" spans="1:13" ht="15" customHeight="1" x14ac:dyDescent="0.25">
      <c r="A1488" s="49">
        <v>1990</v>
      </c>
      <c r="B1488" s="330" t="s">
        <v>43</v>
      </c>
      <c r="C1488" s="331">
        <v>23510933291</v>
      </c>
      <c r="D1488" s="331">
        <v>8973374561</v>
      </c>
      <c r="E1488" s="331">
        <v>167041280</v>
      </c>
      <c r="F1488" s="331">
        <v>132339</v>
      </c>
      <c r="G1488" s="370">
        <f t="shared" si="69"/>
        <v>5.6288280163960762E-6</v>
      </c>
      <c r="H1488" s="370">
        <f t="shared" si="70"/>
        <v>1.4747963444563049E-5</v>
      </c>
      <c r="I1488" s="331">
        <v>490361</v>
      </c>
      <c r="J1488" s="331">
        <v>0</v>
      </c>
      <c r="K1488" s="331">
        <f t="shared" si="71"/>
        <v>490361</v>
      </c>
      <c r="L1488" s="199">
        <v>1.86</v>
      </c>
      <c r="M1488" s="199">
        <v>2.1</v>
      </c>
    </row>
    <row r="1489" spans="1:13" ht="15" customHeight="1" x14ac:dyDescent="0.25">
      <c r="A1489" s="49">
        <v>1991</v>
      </c>
      <c r="B1489" s="330" t="s">
        <v>43</v>
      </c>
      <c r="C1489" s="331">
        <v>23698781847</v>
      </c>
      <c r="D1489" s="331">
        <v>8733420939</v>
      </c>
      <c r="E1489" s="331">
        <v>158340138</v>
      </c>
      <c r="F1489" s="331">
        <v>234323</v>
      </c>
      <c r="G1489" s="370">
        <f t="shared" si="69"/>
        <v>9.8875546225454053E-6</v>
      </c>
      <c r="H1489" s="370">
        <f t="shared" si="70"/>
        <v>2.683060871984382E-5</v>
      </c>
      <c r="I1489" s="331">
        <v>455097</v>
      </c>
      <c r="J1489" s="331">
        <v>0</v>
      </c>
      <c r="K1489" s="331">
        <f t="shared" si="71"/>
        <v>455097</v>
      </c>
      <c r="L1489" s="199">
        <v>1.81</v>
      </c>
      <c r="M1489" s="199">
        <v>2.1</v>
      </c>
    </row>
    <row r="1490" spans="1:13" ht="15" customHeight="1" x14ac:dyDescent="0.25">
      <c r="A1490" s="49">
        <v>1992</v>
      </c>
      <c r="B1490" s="330" t="s">
        <v>43</v>
      </c>
      <c r="C1490" s="331">
        <v>25072725870</v>
      </c>
      <c r="D1490" s="331">
        <v>8812031425</v>
      </c>
      <c r="E1490" s="331">
        <v>159753027</v>
      </c>
      <c r="F1490" s="331">
        <v>212344</v>
      </c>
      <c r="G1490" s="370">
        <f t="shared" si="69"/>
        <v>8.4691230263907476E-6</v>
      </c>
      <c r="H1490" s="370">
        <f t="shared" si="70"/>
        <v>2.4097054329331334E-5</v>
      </c>
      <c r="I1490" s="331">
        <v>433442</v>
      </c>
      <c r="J1490" s="331">
        <v>0</v>
      </c>
      <c r="K1490" s="331">
        <f t="shared" si="71"/>
        <v>433442</v>
      </c>
      <c r="L1490" s="199">
        <v>1.81</v>
      </c>
      <c r="M1490" s="199">
        <v>2.1</v>
      </c>
    </row>
    <row r="1491" spans="1:13" ht="15" customHeight="1" x14ac:dyDescent="0.25">
      <c r="A1491" s="49">
        <v>1993</v>
      </c>
      <c r="B1491" s="330" t="s">
        <v>43</v>
      </c>
      <c r="C1491" s="331">
        <v>26357910999</v>
      </c>
      <c r="D1491" s="331">
        <v>9135131730</v>
      </c>
      <c r="E1491" s="331">
        <v>169347871</v>
      </c>
      <c r="F1491" s="331">
        <v>169408</v>
      </c>
      <c r="G1491" s="370">
        <f t="shared" si="69"/>
        <v>6.4272164818534831E-6</v>
      </c>
      <c r="H1491" s="370">
        <f t="shared" si="70"/>
        <v>1.854466963444653E-5</v>
      </c>
      <c r="I1491" s="331">
        <v>467494</v>
      </c>
      <c r="J1491" s="331">
        <v>0</v>
      </c>
      <c r="K1491" s="331">
        <f t="shared" si="71"/>
        <v>467494</v>
      </c>
      <c r="L1491" s="199">
        <v>1.85</v>
      </c>
      <c r="M1491" s="199">
        <v>2.1</v>
      </c>
    </row>
    <row r="1492" spans="1:13" ht="15" customHeight="1" x14ac:dyDescent="0.25">
      <c r="A1492" s="49">
        <v>1994</v>
      </c>
      <c r="B1492" s="330" t="s">
        <v>43</v>
      </c>
      <c r="C1492" s="331">
        <v>28001752857</v>
      </c>
      <c r="D1492" s="331">
        <v>9580542109</v>
      </c>
      <c r="E1492" s="331">
        <v>179881583</v>
      </c>
      <c r="F1492" s="331">
        <v>173536</v>
      </c>
      <c r="G1492" s="370">
        <f t="shared" si="69"/>
        <v>6.1973263204706383E-6</v>
      </c>
      <c r="H1492" s="370">
        <f t="shared" si="70"/>
        <v>1.8113380018128576E-5</v>
      </c>
      <c r="I1492" s="331">
        <v>502237</v>
      </c>
      <c r="J1492" s="331">
        <v>0</v>
      </c>
      <c r="K1492" s="331">
        <f t="shared" si="71"/>
        <v>502237</v>
      </c>
      <c r="L1492" s="199">
        <v>1.88</v>
      </c>
      <c r="M1492" s="199">
        <v>2.1</v>
      </c>
    </row>
    <row r="1493" spans="1:13" ht="15" customHeight="1" x14ac:dyDescent="0.25">
      <c r="A1493" s="49">
        <v>1995</v>
      </c>
      <c r="B1493" s="330" t="s">
        <v>43</v>
      </c>
      <c r="C1493" s="331">
        <v>30176063195</v>
      </c>
      <c r="D1493" s="331">
        <v>10073145802</v>
      </c>
      <c r="E1493" s="331">
        <v>190982386</v>
      </c>
      <c r="F1493" s="331">
        <v>170827</v>
      </c>
      <c r="G1493" s="370">
        <f t="shared" si="69"/>
        <v>5.6610101488753862E-6</v>
      </c>
      <c r="H1493" s="370">
        <f t="shared" si="70"/>
        <v>1.6958654561128531E-5</v>
      </c>
      <c r="I1493" s="331">
        <v>556650</v>
      </c>
      <c r="J1493" s="331">
        <v>0</v>
      </c>
      <c r="K1493" s="331">
        <f t="shared" si="71"/>
        <v>556650</v>
      </c>
      <c r="L1493" s="199">
        <v>1.9</v>
      </c>
      <c r="M1493" s="199">
        <v>1.53</v>
      </c>
    </row>
    <row r="1494" spans="1:13" ht="15" customHeight="1" x14ac:dyDescent="0.25">
      <c r="A1494" s="49">
        <v>1996</v>
      </c>
      <c r="B1494" s="330" t="s">
        <v>43</v>
      </c>
      <c r="C1494" s="331">
        <v>31873065263</v>
      </c>
      <c r="D1494" s="331">
        <v>10435655083</v>
      </c>
      <c r="E1494" s="331">
        <v>198777147</v>
      </c>
      <c r="F1494" s="331">
        <v>192220</v>
      </c>
      <c r="G1494" s="370">
        <f t="shared" si="69"/>
        <v>6.0307974276681667E-6</v>
      </c>
      <c r="H1494" s="370">
        <f t="shared" si="70"/>
        <v>1.841954323625857E-5</v>
      </c>
      <c r="I1494" s="331">
        <v>603410</v>
      </c>
      <c r="J1494" s="331">
        <v>0</v>
      </c>
      <c r="K1494" s="331">
        <f t="shared" si="71"/>
        <v>603410</v>
      </c>
      <c r="L1494" s="199">
        <v>1.9</v>
      </c>
      <c r="M1494" s="199">
        <v>1.47</v>
      </c>
    </row>
    <row r="1495" spans="1:13" ht="15" customHeight="1" x14ac:dyDescent="0.25">
      <c r="A1495" s="49">
        <v>1997</v>
      </c>
      <c r="B1495" s="330" t="s">
        <v>43</v>
      </c>
      <c r="C1495" s="331">
        <v>34192824222</v>
      </c>
      <c r="D1495" s="331">
        <v>10907220655</v>
      </c>
      <c r="E1495" s="331">
        <v>206669001</v>
      </c>
      <c r="F1495" s="331">
        <v>162054</v>
      </c>
      <c r="G1495" s="370">
        <f t="shared" si="69"/>
        <v>4.7394154676387588E-6</v>
      </c>
      <c r="H1495" s="370">
        <f t="shared" si="70"/>
        <v>1.4857497168695539E-5</v>
      </c>
      <c r="I1495" s="331">
        <v>687060</v>
      </c>
      <c r="J1495" s="331">
        <v>0</v>
      </c>
      <c r="K1495" s="331">
        <f t="shared" si="71"/>
        <v>687060</v>
      </c>
      <c r="L1495" s="199">
        <v>1.89</v>
      </c>
      <c r="M1495" s="199">
        <v>1.47</v>
      </c>
    </row>
    <row r="1496" spans="1:13" ht="15" customHeight="1" x14ac:dyDescent="0.25">
      <c r="A1496" s="49">
        <v>1998</v>
      </c>
      <c r="B1496" s="330" t="s">
        <v>43</v>
      </c>
      <c r="C1496" s="331">
        <v>36956326391</v>
      </c>
      <c r="D1496" s="331">
        <v>11432856313</v>
      </c>
      <c r="E1496" s="331">
        <v>156244367</v>
      </c>
      <c r="F1496" s="331">
        <v>157753</v>
      </c>
      <c r="G1496" s="370">
        <f t="shared" si="69"/>
        <v>4.268633151763096E-6</v>
      </c>
      <c r="H1496" s="370">
        <f t="shared" si="70"/>
        <v>1.3798214171608473E-5</v>
      </c>
      <c r="I1496" s="331">
        <v>734456</v>
      </c>
      <c r="J1496" s="331">
        <v>0</v>
      </c>
      <c r="K1496" s="331">
        <f t="shared" si="71"/>
        <v>734456</v>
      </c>
      <c r="L1496" s="199">
        <v>1.37</v>
      </c>
      <c r="M1496" s="199">
        <v>1.47</v>
      </c>
    </row>
    <row r="1497" spans="1:13" ht="15" customHeight="1" x14ac:dyDescent="0.25">
      <c r="A1497" s="49">
        <v>1999</v>
      </c>
      <c r="B1497" s="330" t="s">
        <v>43</v>
      </c>
      <c r="C1497" s="331">
        <v>39175529073</v>
      </c>
      <c r="D1497" s="331">
        <v>11899481514</v>
      </c>
      <c r="E1497" s="331">
        <v>163405567</v>
      </c>
      <c r="F1497" s="331">
        <v>188037</v>
      </c>
      <c r="G1497" s="370">
        <f t="shared" si="69"/>
        <v>4.7998585966665647E-6</v>
      </c>
      <c r="H1497" s="370">
        <f t="shared" si="70"/>
        <v>1.5802117073653197E-5</v>
      </c>
      <c r="I1497" s="331">
        <v>753909</v>
      </c>
      <c r="J1497" s="331">
        <v>0</v>
      </c>
      <c r="K1497" s="331">
        <f t="shared" si="71"/>
        <v>753909</v>
      </c>
      <c r="L1497" s="199">
        <v>1.37</v>
      </c>
      <c r="M1497" s="199">
        <v>1.47</v>
      </c>
    </row>
    <row r="1498" spans="1:13" ht="15" customHeight="1" x14ac:dyDescent="0.25">
      <c r="A1498" s="49">
        <v>2000</v>
      </c>
      <c r="B1498" s="330" t="s">
        <v>43</v>
      </c>
      <c r="C1498" s="331">
        <v>41189510577</v>
      </c>
      <c r="D1498" s="331">
        <v>12137102055</v>
      </c>
      <c r="E1498" s="331">
        <v>169325535</v>
      </c>
      <c r="F1498" s="331">
        <v>196634</v>
      </c>
      <c r="G1498" s="370">
        <f t="shared" si="69"/>
        <v>4.7738853228763387E-6</v>
      </c>
      <c r="H1498" s="370">
        <f t="shared" si="70"/>
        <v>1.6201066705127908E-5</v>
      </c>
      <c r="I1498" s="331">
        <v>782242</v>
      </c>
      <c r="J1498" s="331">
        <v>0</v>
      </c>
      <c r="K1498" s="331">
        <f t="shared" si="71"/>
        <v>782242</v>
      </c>
      <c r="L1498" s="199">
        <v>1.4</v>
      </c>
      <c r="M1498" s="199">
        <v>1.47</v>
      </c>
    </row>
    <row r="1499" spans="1:13" ht="15" customHeight="1" x14ac:dyDescent="0.25">
      <c r="A1499" s="49">
        <v>2001</v>
      </c>
      <c r="B1499" s="330" t="s">
        <v>43</v>
      </c>
      <c r="C1499" s="331">
        <v>41666519478</v>
      </c>
      <c r="D1499" s="331">
        <v>11705908213</v>
      </c>
      <c r="E1499" s="331">
        <v>162610338</v>
      </c>
      <c r="F1499" s="331">
        <v>374324</v>
      </c>
      <c r="G1499" s="370">
        <f t="shared" si="69"/>
        <v>8.9838077355523723E-6</v>
      </c>
      <c r="H1499" s="370">
        <f t="shared" si="70"/>
        <v>3.1977356492877192E-5</v>
      </c>
      <c r="I1499" s="331">
        <v>627217</v>
      </c>
      <c r="J1499" s="331">
        <v>0</v>
      </c>
      <c r="K1499" s="331">
        <f t="shared" si="71"/>
        <v>627217</v>
      </c>
      <c r="L1499" s="199">
        <v>1.39</v>
      </c>
      <c r="M1499" s="199">
        <v>1.46</v>
      </c>
    </row>
    <row r="1500" spans="1:13" ht="15" customHeight="1" x14ac:dyDescent="0.25">
      <c r="A1500" s="49">
        <v>2002</v>
      </c>
      <c r="B1500" s="330" t="s">
        <v>43</v>
      </c>
      <c r="C1500" s="331">
        <v>41983707910</v>
      </c>
      <c r="D1500" s="331">
        <v>11478661483</v>
      </c>
      <c r="E1500" s="331">
        <v>185151481</v>
      </c>
      <c r="F1500" s="331">
        <v>410218</v>
      </c>
      <c r="G1500" s="370">
        <f t="shared" si="69"/>
        <v>9.7708854320199565E-6</v>
      </c>
      <c r="H1500" s="370">
        <f t="shared" si="70"/>
        <v>3.5737442088307639E-5</v>
      </c>
      <c r="I1500" s="331">
        <v>528944</v>
      </c>
      <c r="J1500" s="331">
        <v>0</v>
      </c>
      <c r="K1500" s="331">
        <f t="shared" si="71"/>
        <v>528944</v>
      </c>
      <c r="L1500" s="199">
        <v>1.61</v>
      </c>
      <c r="M1500" s="199">
        <v>1.46</v>
      </c>
    </row>
    <row r="1501" spans="1:13" ht="15" customHeight="1" x14ac:dyDescent="0.25">
      <c r="A1501" s="49">
        <v>2003</v>
      </c>
      <c r="B1501" s="330" t="s">
        <v>43</v>
      </c>
      <c r="C1501" s="331">
        <v>42977315927</v>
      </c>
      <c r="D1501" s="331">
        <v>11484983939</v>
      </c>
      <c r="E1501" s="331">
        <v>228120319</v>
      </c>
      <c r="F1501" s="331">
        <v>401843</v>
      </c>
      <c r="G1501" s="370">
        <f t="shared" si="69"/>
        <v>9.3501185761009054E-6</v>
      </c>
      <c r="H1501" s="370">
        <f t="shared" si="70"/>
        <v>3.498855567707381E-5</v>
      </c>
      <c r="I1501" s="331">
        <v>373232</v>
      </c>
      <c r="J1501" s="331">
        <v>0</v>
      </c>
      <c r="K1501" s="331">
        <f t="shared" si="71"/>
        <v>373232</v>
      </c>
      <c r="L1501" s="199">
        <v>1.99</v>
      </c>
      <c r="M1501" s="199">
        <v>1.46</v>
      </c>
    </row>
    <row r="1502" spans="1:13" ht="15" customHeight="1" x14ac:dyDescent="0.25">
      <c r="A1502" s="49">
        <v>2004</v>
      </c>
      <c r="B1502" s="330" t="s">
        <v>43</v>
      </c>
      <c r="C1502" s="331">
        <v>45150098076</v>
      </c>
      <c r="D1502" s="331">
        <v>11796379146</v>
      </c>
      <c r="E1502" s="331">
        <v>263211121</v>
      </c>
      <c r="F1502" s="331">
        <v>336315</v>
      </c>
      <c r="G1502" s="370">
        <f t="shared" si="69"/>
        <v>7.4488210287802607E-6</v>
      </c>
      <c r="H1502" s="370">
        <f t="shared" si="70"/>
        <v>2.8510019543924211E-5</v>
      </c>
      <c r="I1502" s="331">
        <v>308571</v>
      </c>
      <c r="J1502" s="331">
        <v>0</v>
      </c>
      <c r="K1502" s="331">
        <f t="shared" si="71"/>
        <v>308571</v>
      </c>
      <c r="L1502" s="199">
        <v>2.23</v>
      </c>
      <c r="M1502" s="199">
        <v>1.46</v>
      </c>
    </row>
    <row r="1503" spans="1:13" ht="15" customHeight="1" x14ac:dyDescent="0.25">
      <c r="A1503" s="49">
        <v>2005</v>
      </c>
      <c r="B1503" s="330" t="s">
        <v>43</v>
      </c>
      <c r="C1503" s="331">
        <v>47462625289</v>
      </c>
      <c r="D1503" s="331">
        <v>12047705534</v>
      </c>
      <c r="E1503" s="331">
        <v>268596960</v>
      </c>
      <c r="F1503" s="331">
        <v>321083</v>
      </c>
      <c r="G1503" s="370">
        <f t="shared" si="69"/>
        <v>6.7649650234247501E-6</v>
      </c>
      <c r="H1503" s="370">
        <f t="shared" si="70"/>
        <v>2.6650966783166067E-5</v>
      </c>
      <c r="I1503" s="331">
        <v>276459</v>
      </c>
      <c r="J1503" s="331">
        <v>0</v>
      </c>
      <c r="K1503" s="331">
        <f t="shared" si="71"/>
        <v>276459</v>
      </c>
      <c r="L1503" s="199">
        <v>2.23</v>
      </c>
      <c r="M1503" s="199">
        <v>1.46</v>
      </c>
    </row>
    <row r="1504" spans="1:13" ht="15" customHeight="1" x14ac:dyDescent="0.25">
      <c r="A1504" s="49">
        <v>2006</v>
      </c>
      <c r="B1504" s="330" t="s">
        <v>43</v>
      </c>
      <c r="C1504" s="331">
        <v>50508860844</v>
      </c>
      <c r="D1504" s="331">
        <v>12571992414</v>
      </c>
      <c r="E1504" s="331">
        <v>277781129</v>
      </c>
      <c r="F1504" s="331">
        <v>311280</v>
      </c>
      <c r="G1504" s="370">
        <f t="shared" si="69"/>
        <v>6.1628790433704128E-6</v>
      </c>
      <c r="H1504" s="370">
        <f t="shared" si="70"/>
        <v>2.4759798586369079E-5</v>
      </c>
      <c r="I1504" s="331">
        <v>251315</v>
      </c>
      <c r="J1504" s="331">
        <v>0</v>
      </c>
      <c r="K1504" s="331">
        <f t="shared" si="71"/>
        <v>251315</v>
      </c>
      <c r="L1504" s="199">
        <v>2.21</v>
      </c>
      <c r="M1504" s="199">
        <v>1.46</v>
      </c>
    </row>
    <row r="1505" spans="1:13" ht="15" customHeight="1" x14ac:dyDescent="0.25">
      <c r="A1505" s="49">
        <v>2007</v>
      </c>
      <c r="B1505" s="330" t="s">
        <v>43</v>
      </c>
      <c r="C1505" s="331">
        <v>52904193412</v>
      </c>
      <c r="D1505" s="331">
        <v>12814763962</v>
      </c>
      <c r="E1505" s="331">
        <v>275868381</v>
      </c>
      <c r="F1505" s="331">
        <v>339400</v>
      </c>
      <c r="G1505" s="370">
        <f t="shared" si="69"/>
        <v>6.4153704670793748E-6</v>
      </c>
      <c r="H1505" s="370">
        <f t="shared" si="70"/>
        <v>2.6485076198549804E-5</v>
      </c>
      <c r="I1505" s="331">
        <v>199183</v>
      </c>
      <c r="J1505" s="331">
        <v>0</v>
      </c>
      <c r="K1505" s="331">
        <f t="shared" si="71"/>
        <v>199183</v>
      </c>
      <c r="L1505" s="199">
        <v>2.15</v>
      </c>
      <c r="M1505" s="199">
        <v>1.46</v>
      </c>
    </row>
    <row r="1506" spans="1:13" x14ac:dyDescent="0.25">
      <c r="A1506" s="49">
        <v>2008</v>
      </c>
      <c r="B1506" s="330" t="s">
        <v>43</v>
      </c>
      <c r="C1506" s="331">
        <v>52960870226</v>
      </c>
      <c r="D1506" s="331">
        <v>12415340068</v>
      </c>
      <c r="E1506" s="331">
        <v>259380139</v>
      </c>
      <c r="F1506" s="331">
        <v>474040</v>
      </c>
      <c r="G1506" s="370">
        <f t="shared" si="69"/>
        <v>8.9507592676843938E-6</v>
      </c>
      <c r="H1506" s="370">
        <f t="shared" si="70"/>
        <v>3.818179747019717E-5</v>
      </c>
      <c r="I1506" s="331">
        <v>754</v>
      </c>
      <c r="J1506" s="331">
        <v>15000</v>
      </c>
      <c r="K1506" s="331">
        <f t="shared" si="71"/>
        <v>-14246</v>
      </c>
      <c r="L1506" s="199">
        <v>2.1</v>
      </c>
      <c r="M1506" s="199">
        <v>1.46</v>
      </c>
    </row>
    <row r="1507" spans="1:13" ht="15" customHeight="1" x14ac:dyDescent="0.25">
      <c r="A1507" s="49">
        <v>2009</v>
      </c>
      <c r="B1507" s="330" t="s">
        <v>43</v>
      </c>
      <c r="C1507" s="331">
        <v>49440443007</v>
      </c>
      <c r="D1507" s="331">
        <v>11273156656</v>
      </c>
      <c r="E1507" s="331">
        <v>232118821</v>
      </c>
      <c r="F1507" s="331">
        <v>910924</v>
      </c>
      <c r="G1507" s="370">
        <f t="shared" si="69"/>
        <v>1.8424673093463732E-5</v>
      </c>
      <c r="H1507" s="370">
        <f t="shared" si="70"/>
        <v>8.0804696306173643E-5</v>
      </c>
      <c r="I1507" s="331">
        <v>9963</v>
      </c>
      <c r="J1507" s="331">
        <v>692037</v>
      </c>
      <c r="K1507" s="331">
        <f t="shared" si="71"/>
        <v>-682074</v>
      </c>
      <c r="L1507" s="199">
        <v>2.1</v>
      </c>
      <c r="M1507" s="199">
        <v>1.27</v>
      </c>
    </row>
    <row r="1508" spans="1:13" ht="15" customHeight="1" x14ac:dyDescent="0.25">
      <c r="A1508" s="49">
        <v>2010</v>
      </c>
      <c r="B1508" s="330" t="s">
        <v>43</v>
      </c>
      <c r="C1508" s="331">
        <v>50564787924</v>
      </c>
      <c r="D1508" s="331">
        <v>11331121006</v>
      </c>
      <c r="E1508" s="331">
        <v>260816123</v>
      </c>
      <c r="F1508" s="331">
        <v>547335</v>
      </c>
      <c r="G1508" s="370">
        <f t="shared" si="69"/>
        <v>1.0824429854677857E-5</v>
      </c>
      <c r="H1508" s="370">
        <f t="shared" si="70"/>
        <v>4.8303693845487821E-5</v>
      </c>
      <c r="I1508" s="331">
        <v>6990</v>
      </c>
      <c r="J1508" s="331">
        <v>886662</v>
      </c>
      <c r="K1508" s="331">
        <f t="shared" si="71"/>
        <v>-879672</v>
      </c>
      <c r="L1508" s="199">
        <v>2.2999999999999998</v>
      </c>
      <c r="M1508" s="199">
        <v>1.3</v>
      </c>
    </row>
    <row r="1509" spans="1:13" ht="15" customHeight="1" x14ac:dyDescent="0.25">
      <c r="A1509" s="49">
        <v>2011</v>
      </c>
      <c r="B1509" s="330" t="s">
        <v>43</v>
      </c>
      <c r="C1509" s="331">
        <v>52837834386</v>
      </c>
      <c r="D1509" s="331">
        <v>14912809724</v>
      </c>
      <c r="E1509" s="331">
        <v>514159413</v>
      </c>
      <c r="F1509" s="331">
        <v>422816</v>
      </c>
      <c r="G1509" s="370">
        <f t="shared" si="69"/>
        <v>8.0021447682956134E-6</v>
      </c>
      <c r="H1509" s="370">
        <f t="shared" si="70"/>
        <v>2.8352537705858279E-5</v>
      </c>
      <c r="I1509" s="331">
        <v>122151</v>
      </c>
      <c r="J1509" s="331">
        <v>782489</v>
      </c>
      <c r="K1509" s="331">
        <f t="shared" si="71"/>
        <v>-660338</v>
      </c>
      <c r="L1509" s="199">
        <v>3.4</v>
      </c>
      <c r="M1509" s="199">
        <v>1.3</v>
      </c>
    </row>
    <row r="1510" spans="1:13" ht="15" customHeight="1" x14ac:dyDescent="0.25">
      <c r="A1510" s="49">
        <v>2012</v>
      </c>
      <c r="B1510" s="330" t="s">
        <v>43</v>
      </c>
      <c r="C1510" s="331">
        <v>55085833172</v>
      </c>
      <c r="D1510" s="331">
        <v>17982643020</v>
      </c>
      <c r="E1510" s="331">
        <v>474495987</v>
      </c>
      <c r="F1510" s="331">
        <v>304324</v>
      </c>
      <c r="G1510" s="370">
        <f t="shared" si="69"/>
        <v>5.5245420188123283E-6</v>
      </c>
      <c r="H1510" s="370">
        <f t="shared" si="70"/>
        <v>1.6923207543047808E-5</v>
      </c>
      <c r="I1510" s="331">
        <v>210738</v>
      </c>
      <c r="J1510" s="331">
        <v>675598</v>
      </c>
      <c r="K1510" s="331">
        <f t="shared" si="71"/>
        <v>-464860</v>
      </c>
      <c r="L1510" s="199">
        <v>2.64</v>
      </c>
      <c r="M1510" s="199">
        <v>1.3</v>
      </c>
    </row>
    <row r="1511" spans="1:13" ht="15" customHeight="1" x14ac:dyDescent="0.25">
      <c r="A1511" s="49">
        <v>2013</v>
      </c>
      <c r="B1511" s="330" t="s">
        <v>43</v>
      </c>
      <c r="C1511" s="331">
        <v>57005196129</v>
      </c>
      <c r="D1511" s="331">
        <v>18623898151</v>
      </c>
      <c r="E1511" s="331">
        <v>473618194</v>
      </c>
      <c r="F1511" s="331">
        <v>248809</v>
      </c>
      <c r="G1511" s="370">
        <f t="shared" si="69"/>
        <v>4.3646722912233697E-6</v>
      </c>
      <c r="H1511" s="370">
        <f t="shared" si="70"/>
        <v>1.3359662836571104E-5</v>
      </c>
      <c r="I1511" s="331">
        <v>179947</v>
      </c>
      <c r="J1511" s="331">
        <v>456512</v>
      </c>
      <c r="K1511" s="331">
        <f t="shared" si="71"/>
        <v>-276565</v>
      </c>
      <c r="L1511" s="199">
        <v>2.54</v>
      </c>
      <c r="M1511" s="199">
        <v>1.3</v>
      </c>
    </row>
    <row r="1512" spans="1:13" ht="15" customHeight="1" x14ac:dyDescent="0.25">
      <c r="A1512" s="49">
        <v>2014</v>
      </c>
      <c r="B1512" s="330" t="s">
        <v>43</v>
      </c>
      <c r="C1512" s="331">
        <v>60259296239</v>
      </c>
      <c r="D1512" s="331">
        <v>19428645932</v>
      </c>
      <c r="E1512" s="331">
        <v>471553874</v>
      </c>
      <c r="F1512" s="331">
        <v>192544</v>
      </c>
      <c r="G1512" s="370">
        <f t="shared" si="69"/>
        <v>3.1952580268500536E-6</v>
      </c>
      <c r="H1512" s="370">
        <f t="shared" si="70"/>
        <v>9.9103149377420026E-6</v>
      </c>
      <c r="I1512" s="331">
        <v>191098</v>
      </c>
      <c r="J1512" s="331">
        <v>195489</v>
      </c>
      <c r="K1512" s="331">
        <f t="shared" si="71"/>
        <v>-4391</v>
      </c>
      <c r="L1512" s="333">
        <v>2.4271062206312899</v>
      </c>
      <c r="M1512" s="199">
        <v>1.3</v>
      </c>
    </row>
    <row r="1513" spans="1:13" ht="15" customHeight="1" x14ac:dyDescent="0.25">
      <c r="A1513" s="49">
        <v>2015</v>
      </c>
      <c r="B1513" s="330" t="s">
        <v>43</v>
      </c>
      <c r="C1513" s="334">
        <v>64008800000</v>
      </c>
      <c r="D1513" s="334">
        <v>22544752000</v>
      </c>
      <c r="E1513" s="334">
        <v>436755000</v>
      </c>
      <c r="F1513" s="331">
        <v>166876</v>
      </c>
      <c r="G1513" s="370">
        <f t="shared" si="69"/>
        <v>2.6070790266338376E-6</v>
      </c>
      <c r="H1513" s="370">
        <f t="shared" si="70"/>
        <v>7.4019887200355984E-6</v>
      </c>
      <c r="I1513" s="331">
        <v>307378</v>
      </c>
      <c r="J1513" s="199">
        <v>0</v>
      </c>
      <c r="K1513" s="331">
        <f t="shared" si="71"/>
        <v>307378</v>
      </c>
      <c r="L1513" s="199">
        <v>1.9</v>
      </c>
      <c r="M1513" s="199">
        <v>1.3</v>
      </c>
    </row>
    <row r="1514" spans="1:13" ht="15" customHeight="1" x14ac:dyDescent="0.25">
      <c r="A1514" s="49">
        <v>1980</v>
      </c>
      <c r="B1514" s="330" t="s">
        <v>44</v>
      </c>
      <c r="C1514" s="331">
        <v>1806564909</v>
      </c>
      <c r="D1514" s="331">
        <v>911720937</v>
      </c>
      <c r="E1514" s="331">
        <v>9783010</v>
      </c>
      <c r="F1514" s="331">
        <v>16584</v>
      </c>
      <c r="G1514" s="370">
        <f t="shared" si="69"/>
        <v>9.1798528341723701E-6</v>
      </c>
      <c r="H1514" s="370">
        <f t="shared" si="70"/>
        <v>1.8189776418395445E-5</v>
      </c>
      <c r="I1514" s="331">
        <v>11141</v>
      </c>
      <c r="J1514" s="331">
        <v>0</v>
      </c>
      <c r="K1514" s="331">
        <f t="shared" si="71"/>
        <v>11141</v>
      </c>
      <c r="L1514" s="199">
        <v>1.07</v>
      </c>
      <c r="M1514" s="199">
        <v>0.99</v>
      </c>
    </row>
    <row r="1515" spans="1:13" ht="15" customHeight="1" x14ac:dyDescent="0.25">
      <c r="A1515" s="49">
        <v>1981</v>
      </c>
      <c r="B1515" s="330" t="s">
        <v>44</v>
      </c>
      <c r="C1515" s="331">
        <v>1928085891</v>
      </c>
      <c r="D1515" s="331">
        <v>919522899</v>
      </c>
      <c r="E1515" s="331">
        <v>11547086</v>
      </c>
      <c r="F1515" s="331">
        <v>15025</v>
      </c>
      <c r="G1515" s="370">
        <f t="shared" si="69"/>
        <v>7.7927026332874081E-6</v>
      </c>
      <c r="H1515" s="370">
        <f t="shared" si="70"/>
        <v>1.6339995465409286E-5</v>
      </c>
      <c r="I1515" s="331">
        <v>10906</v>
      </c>
      <c r="J1515" s="331">
        <v>0</v>
      </c>
      <c r="K1515" s="331">
        <f t="shared" si="71"/>
        <v>10906</v>
      </c>
      <c r="L1515" s="199">
        <v>1.26</v>
      </c>
      <c r="M1515" s="199">
        <v>0.99</v>
      </c>
    </row>
    <row r="1516" spans="1:13" ht="15" customHeight="1" x14ac:dyDescent="0.25">
      <c r="A1516" s="49">
        <v>1982</v>
      </c>
      <c r="B1516" s="330" t="s">
        <v>44</v>
      </c>
      <c r="C1516" s="331">
        <v>1948657707</v>
      </c>
      <c r="D1516" s="331">
        <v>884748889</v>
      </c>
      <c r="E1516" s="331">
        <v>11676260</v>
      </c>
      <c r="F1516" s="331">
        <v>19128</v>
      </c>
      <c r="G1516" s="370">
        <f t="shared" si="69"/>
        <v>9.8159876571899142E-6</v>
      </c>
      <c r="H1516" s="370">
        <f t="shared" si="70"/>
        <v>2.1619693720802175E-5</v>
      </c>
      <c r="I1516" s="331">
        <v>8554</v>
      </c>
      <c r="J1516" s="331">
        <v>0</v>
      </c>
      <c r="K1516" s="331">
        <f t="shared" si="71"/>
        <v>8554</v>
      </c>
      <c r="L1516" s="199">
        <v>1.32</v>
      </c>
      <c r="M1516" s="199">
        <v>1</v>
      </c>
    </row>
    <row r="1517" spans="1:13" ht="15" customHeight="1" x14ac:dyDescent="0.25">
      <c r="A1517" s="49">
        <v>1983</v>
      </c>
      <c r="B1517" s="330" t="s">
        <v>44</v>
      </c>
      <c r="C1517" s="331">
        <v>2064518815</v>
      </c>
      <c r="D1517" s="331">
        <v>1024271725</v>
      </c>
      <c r="E1517" s="331">
        <v>21572800</v>
      </c>
      <c r="F1517" s="331">
        <v>14882</v>
      </c>
      <c r="G1517" s="370">
        <f t="shared" si="69"/>
        <v>7.2084593716817249E-6</v>
      </c>
      <c r="H1517" s="370">
        <f t="shared" si="70"/>
        <v>1.4529347668949857E-5</v>
      </c>
      <c r="I1517" s="331">
        <v>15041</v>
      </c>
      <c r="J1517" s="331">
        <v>0</v>
      </c>
      <c r="K1517" s="331">
        <f t="shared" si="71"/>
        <v>15041</v>
      </c>
      <c r="L1517" s="199">
        <v>2.11</v>
      </c>
      <c r="M1517" s="199">
        <v>0.97</v>
      </c>
    </row>
    <row r="1518" spans="1:13" ht="15" customHeight="1" x14ac:dyDescent="0.25">
      <c r="A1518" s="49">
        <v>1984</v>
      </c>
      <c r="B1518" s="330" t="s">
        <v>44</v>
      </c>
      <c r="C1518" s="331">
        <v>2240701468</v>
      </c>
      <c r="D1518" s="331">
        <v>1103065488</v>
      </c>
      <c r="E1518" s="331">
        <v>18496082</v>
      </c>
      <c r="F1518" s="331">
        <v>9266</v>
      </c>
      <c r="G1518" s="370">
        <f t="shared" si="69"/>
        <v>4.1353121477046316E-6</v>
      </c>
      <c r="H1518" s="370">
        <f t="shared" si="70"/>
        <v>8.4002265511909482E-6</v>
      </c>
      <c r="I1518" s="331">
        <v>27162</v>
      </c>
      <c r="J1518" s="331">
        <v>0</v>
      </c>
      <c r="K1518" s="331">
        <f t="shared" si="71"/>
        <v>27162</v>
      </c>
      <c r="L1518" s="199">
        <v>1.68</v>
      </c>
      <c r="M1518" s="199">
        <v>0.97</v>
      </c>
    </row>
    <row r="1519" spans="1:13" ht="15" customHeight="1" x14ac:dyDescent="0.25">
      <c r="A1519" s="49">
        <v>1985</v>
      </c>
      <c r="B1519" s="330" t="s">
        <v>44</v>
      </c>
      <c r="C1519" s="331">
        <v>2321269108</v>
      </c>
      <c r="D1519" s="331">
        <v>1115029078</v>
      </c>
      <c r="E1519" s="331">
        <v>15957934</v>
      </c>
      <c r="F1519" s="331">
        <v>13887</v>
      </c>
      <c r="G1519" s="370">
        <f t="shared" si="69"/>
        <v>5.9825032574379137E-6</v>
      </c>
      <c r="H1519" s="370">
        <f t="shared" si="70"/>
        <v>1.2454383723255691E-5</v>
      </c>
      <c r="I1519" s="331">
        <v>33106</v>
      </c>
      <c r="J1519" s="331">
        <v>0</v>
      </c>
      <c r="K1519" s="331">
        <f t="shared" si="71"/>
        <v>33106</v>
      </c>
      <c r="L1519" s="199">
        <v>1.43</v>
      </c>
      <c r="M1519" s="199">
        <v>0.97</v>
      </c>
    </row>
    <row r="1520" spans="1:13" ht="15" customHeight="1" x14ac:dyDescent="0.25">
      <c r="A1520" s="49">
        <v>1986</v>
      </c>
      <c r="B1520" s="330" t="s">
        <v>44</v>
      </c>
      <c r="C1520" s="331">
        <v>2425373022</v>
      </c>
      <c r="D1520" s="331">
        <v>1128039529</v>
      </c>
      <c r="E1520" s="331">
        <v>16207386</v>
      </c>
      <c r="F1520" s="331">
        <v>13962</v>
      </c>
      <c r="G1520" s="370">
        <f t="shared" si="69"/>
        <v>5.7566402666121518E-6</v>
      </c>
      <c r="H1520" s="370">
        <f t="shared" si="70"/>
        <v>1.237722583390072E-5</v>
      </c>
      <c r="I1520" s="331">
        <v>38970</v>
      </c>
      <c r="J1520" s="331">
        <v>0</v>
      </c>
      <c r="K1520" s="331">
        <f t="shared" si="71"/>
        <v>38970</v>
      </c>
      <c r="L1520" s="199">
        <v>1.44</v>
      </c>
      <c r="M1520" s="199">
        <v>0.97</v>
      </c>
    </row>
    <row r="1521" spans="1:13" ht="15" customHeight="1" x14ac:dyDescent="0.25">
      <c r="A1521" s="49">
        <v>1987</v>
      </c>
      <c r="B1521" s="330" t="s">
        <v>44</v>
      </c>
      <c r="C1521" s="331">
        <v>2567775906</v>
      </c>
      <c r="D1521" s="331">
        <v>1180713999</v>
      </c>
      <c r="E1521" s="331">
        <v>11289321</v>
      </c>
      <c r="F1521" s="331">
        <v>11852</v>
      </c>
      <c r="G1521" s="370">
        <f t="shared" si="69"/>
        <v>4.6156675792096948E-6</v>
      </c>
      <c r="H1521" s="370">
        <f t="shared" si="70"/>
        <v>1.0037993968088796E-5</v>
      </c>
      <c r="I1521" s="331">
        <v>43463</v>
      </c>
      <c r="J1521" s="331">
        <v>0</v>
      </c>
      <c r="K1521" s="331">
        <f t="shared" si="71"/>
        <v>43463</v>
      </c>
      <c r="L1521" s="199">
        <v>0.96</v>
      </c>
      <c r="M1521" s="199">
        <v>0.97</v>
      </c>
    </row>
    <row r="1522" spans="1:13" ht="15" customHeight="1" x14ac:dyDescent="0.25">
      <c r="A1522" s="49">
        <v>1988</v>
      </c>
      <c r="B1522" s="330" t="s">
        <v>44</v>
      </c>
      <c r="C1522" s="331">
        <v>2767765681</v>
      </c>
      <c r="D1522" s="331">
        <v>1227452904</v>
      </c>
      <c r="E1522" s="331">
        <v>10394331</v>
      </c>
      <c r="F1522" s="331">
        <v>12808</v>
      </c>
      <c r="G1522" s="370">
        <f t="shared" si="69"/>
        <v>4.6275593659982227E-6</v>
      </c>
      <c r="H1522" s="370">
        <f t="shared" si="70"/>
        <v>1.0434616235182251E-5</v>
      </c>
      <c r="I1522" s="331">
        <v>45139</v>
      </c>
      <c r="J1522" s="331">
        <v>0</v>
      </c>
      <c r="K1522" s="331">
        <f t="shared" si="71"/>
        <v>45139</v>
      </c>
      <c r="L1522" s="199">
        <v>0.85</v>
      </c>
      <c r="M1522" s="199">
        <v>0.97</v>
      </c>
    </row>
    <row r="1523" spans="1:13" ht="15" customHeight="1" x14ac:dyDescent="0.25">
      <c r="A1523" s="49">
        <v>1989</v>
      </c>
      <c r="B1523" s="330" t="s">
        <v>44</v>
      </c>
      <c r="C1523" s="331">
        <v>2934221287</v>
      </c>
      <c r="D1523" s="331">
        <v>1287347763</v>
      </c>
      <c r="E1523" s="331">
        <v>6821104</v>
      </c>
      <c r="F1523" s="331">
        <v>11174</v>
      </c>
      <c r="G1523" s="370">
        <f t="shared" si="69"/>
        <v>3.8081654064422989E-6</v>
      </c>
      <c r="H1523" s="370">
        <f t="shared" si="70"/>
        <v>8.6798612784787981E-6</v>
      </c>
      <c r="I1523" s="331">
        <v>45424</v>
      </c>
      <c r="J1523" s="331">
        <v>0</v>
      </c>
      <c r="K1523" s="331">
        <f t="shared" si="71"/>
        <v>45424</v>
      </c>
      <c r="L1523" s="199">
        <v>0.53</v>
      </c>
      <c r="M1523" s="199">
        <v>0.97</v>
      </c>
    </row>
    <row r="1524" spans="1:13" ht="15" customHeight="1" x14ac:dyDescent="0.25">
      <c r="A1524" s="49">
        <v>1990</v>
      </c>
      <c r="B1524" s="330" t="s">
        <v>44</v>
      </c>
      <c r="C1524" s="331">
        <v>3216959613</v>
      </c>
      <c r="D1524" s="331">
        <v>1381299396</v>
      </c>
      <c r="E1524" s="331">
        <v>9079916</v>
      </c>
      <c r="F1524" s="331">
        <v>9618</v>
      </c>
      <c r="G1524" s="370">
        <f t="shared" si="69"/>
        <v>2.9897795300671064E-6</v>
      </c>
      <c r="H1524" s="370">
        <f t="shared" si="70"/>
        <v>6.9630089087507285E-6</v>
      </c>
      <c r="I1524" s="331">
        <v>48894</v>
      </c>
      <c r="J1524" s="331">
        <v>0</v>
      </c>
      <c r="K1524" s="331">
        <f t="shared" si="71"/>
        <v>48894</v>
      </c>
      <c r="L1524" s="199">
        <v>0.66</v>
      </c>
      <c r="M1524" s="199">
        <v>0.97</v>
      </c>
    </row>
    <row r="1525" spans="1:13" ht="15" customHeight="1" x14ac:dyDescent="0.25">
      <c r="A1525" s="49">
        <v>1991</v>
      </c>
      <c r="B1525" s="330" t="s">
        <v>44</v>
      </c>
      <c r="C1525" s="331">
        <v>3434445255</v>
      </c>
      <c r="D1525" s="331">
        <v>1440009477</v>
      </c>
      <c r="E1525" s="331">
        <v>7458067</v>
      </c>
      <c r="F1525" s="331">
        <v>11304</v>
      </c>
      <c r="G1525" s="370">
        <f t="shared" si="69"/>
        <v>3.291361241977345E-6</v>
      </c>
      <c r="H1525" s="370">
        <f t="shared" si="70"/>
        <v>7.8499483375275037E-6</v>
      </c>
      <c r="I1525" s="331">
        <v>49701</v>
      </c>
      <c r="J1525" s="331">
        <v>0</v>
      </c>
      <c r="K1525" s="331">
        <f t="shared" si="71"/>
        <v>49701</v>
      </c>
      <c r="L1525" s="199">
        <v>0.52</v>
      </c>
      <c r="M1525" s="199">
        <v>0.97</v>
      </c>
    </row>
    <row r="1526" spans="1:13" ht="15" customHeight="1" x14ac:dyDescent="0.25">
      <c r="A1526" s="49">
        <v>1992</v>
      </c>
      <c r="B1526" s="330" t="s">
        <v>44</v>
      </c>
      <c r="C1526" s="331">
        <v>3765543065</v>
      </c>
      <c r="D1526" s="331">
        <v>1512949880</v>
      </c>
      <c r="E1526" s="331">
        <v>9150016</v>
      </c>
      <c r="F1526" s="331">
        <v>12628</v>
      </c>
      <c r="G1526" s="370">
        <f t="shared" si="69"/>
        <v>3.3535667450931147E-6</v>
      </c>
      <c r="H1526" s="370">
        <f t="shared" si="70"/>
        <v>8.3466082828864098E-6</v>
      </c>
      <c r="I1526" s="331">
        <v>50416</v>
      </c>
      <c r="J1526" s="331">
        <v>0</v>
      </c>
      <c r="K1526" s="331">
        <f t="shared" si="71"/>
        <v>50416</v>
      </c>
      <c r="L1526" s="199">
        <v>0.6</v>
      </c>
      <c r="M1526" s="199">
        <v>0.97</v>
      </c>
    </row>
    <row r="1527" spans="1:13" ht="15" customHeight="1" x14ac:dyDescent="0.25">
      <c r="A1527" s="49">
        <v>1993</v>
      </c>
      <c r="B1527" s="330" t="s">
        <v>44</v>
      </c>
      <c r="C1527" s="331">
        <v>4041953365</v>
      </c>
      <c r="D1527" s="331">
        <v>1606585106</v>
      </c>
      <c r="E1527" s="331">
        <v>8080808</v>
      </c>
      <c r="F1527" s="331">
        <v>12085</v>
      </c>
      <c r="G1527" s="370">
        <f t="shared" si="69"/>
        <v>2.9898910028616821E-6</v>
      </c>
      <c r="H1527" s="370">
        <f t="shared" si="70"/>
        <v>7.5221660868552828E-6</v>
      </c>
      <c r="I1527" s="331">
        <v>49773</v>
      </c>
      <c r="J1527" s="331">
        <v>0</v>
      </c>
      <c r="K1527" s="331">
        <f t="shared" si="71"/>
        <v>49773</v>
      </c>
      <c r="L1527" s="199">
        <v>0.5</v>
      </c>
      <c r="M1527" s="199">
        <v>0.97</v>
      </c>
    </row>
    <row r="1528" spans="1:13" ht="15" customHeight="1" x14ac:dyDescent="0.25">
      <c r="A1528" s="49">
        <v>1994</v>
      </c>
      <c r="B1528" s="330" t="s">
        <v>44</v>
      </c>
      <c r="C1528" s="331">
        <v>4406041389</v>
      </c>
      <c r="D1528" s="331">
        <v>1711251599</v>
      </c>
      <c r="E1528" s="331">
        <v>9266453</v>
      </c>
      <c r="F1528" s="331">
        <v>11595</v>
      </c>
      <c r="G1528" s="370">
        <f t="shared" si="69"/>
        <v>2.6316139537290214E-6</v>
      </c>
      <c r="H1528" s="370">
        <f t="shared" si="70"/>
        <v>6.7757423904093016E-6</v>
      </c>
      <c r="I1528" s="331">
        <v>51208</v>
      </c>
      <c r="J1528" s="331">
        <v>0</v>
      </c>
      <c r="K1528" s="331">
        <f t="shared" si="71"/>
        <v>51208</v>
      </c>
      <c r="L1528" s="199">
        <v>0.54</v>
      </c>
      <c r="M1528" s="199">
        <v>0.97</v>
      </c>
    </row>
    <row r="1529" spans="1:13" ht="15" customHeight="1" x14ac:dyDescent="0.25">
      <c r="A1529" s="49">
        <v>1995</v>
      </c>
      <c r="B1529" s="330" t="s">
        <v>44</v>
      </c>
      <c r="C1529" s="331">
        <v>4754072502</v>
      </c>
      <c r="D1529" s="331">
        <v>1796183483</v>
      </c>
      <c r="E1529" s="331">
        <v>9752082</v>
      </c>
      <c r="F1529" s="331">
        <v>13029</v>
      </c>
      <c r="G1529" s="370">
        <f t="shared" si="69"/>
        <v>2.7405976653740146E-6</v>
      </c>
      <c r="H1529" s="370">
        <f t="shared" si="70"/>
        <v>7.2537132889335222E-6</v>
      </c>
      <c r="I1529" s="331">
        <v>51622</v>
      </c>
      <c r="J1529" s="331">
        <v>0</v>
      </c>
      <c r="K1529" s="331">
        <f t="shared" si="71"/>
        <v>51622</v>
      </c>
      <c r="L1529" s="199">
        <v>0.54</v>
      </c>
      <c r="M1529" s="199">
        <v>0.92</v>
      </c>
    </row>
    <row r="1530" spans="1:13" ht="15" customHeight="1" x14ac:dyDescent="0.25">
      <c r="A1530" s="49">
        <v>1996</v>
      </c>
      <c r="B1530" s="330" t="s">
        <v>44</v>
      </c>
      <c r="C1530" s="331">
        <v>5101257310</v>
      </c>
      <c r="D1530" s="331">
        <v>1855948909</v>
      </c>
      <c r="E1530" s="331">
        <v>10285084</v>
      </c>
      <c r="F1530" s="331">
        <v>15550</v>
      </c>
      <c r="G1530" s="370">
        <f t="shared" si="69"/>
        <v>3.0482681141210654E-6</v>
      </c>
      <c r="H1530" s="370">
        <f t="shared" si="70"/>
        <v>8.3784633965912698E-6</v>
      </c>
      <c r="I1530" s="331">
        <v>49542</v>
      </c>
      <c r="J1530" s="331">
        <v>0</v>
      </c>
      <c r="K1530" s="331">
        <f t="shared" si="71"/>
        <v>49542</v>
      </c>
      <c r="L1530" s="199">
        <v>0.55000000000000004</v>
      </c>
      <c r="M1530" s="199">
        <v>0.91</v>
      </c>
    </row>
    <row r="1531" spans="1:13" ht="15" customHeight="1" x14ac:dyDescent="0.25">
      <c r="A1531" s="49">
        <v>1997</v>
      </c>
      <c r="B1531" s="330" t="s">
        <v>44</v>
      </c>
      <c r="C1531" s="331">
        <v>5486271188</v>
      </c>
      <c r="D1531" s="331">
        <v>1941694582</v>
      </c>
      <c r="E1531" s="331">
        <v>11328977</v>
      </c>
      <c r="F1531" s="331">
        <v>15495</v>
      </c>
      <c r="G1531" s="370">
        <f t="shared" si="69"/>
        <v>2.8243226535888113E-6</v>
      </c>
      <c r="H1531" s="370">
        <f t="shared" si="70"/>
        <v>7.9801427802511112E-6</v>
      </c>
      <c r="I1531" s="331">
        <v>48939</v>
      </c>
      <c r="J1531" s="331">
        <v>0</v>
      </c>
      <c r="K1531" s="331">
        <f t="shared" si="71"/>
        <v>48939</v>
      </c>
      <c r="L1531" s="199">
        <v>0.57999999999999996</v>
      </c>
      <c r="M1531" s="199">
        <v>0.9</v>
      </c>
    </row>
    <row r="1532" spans="1:13" ht="15" customHeight="1" x14ac:dyDescent="0.25">
      <c r="A1532" s="49">
        <v>1998</v>
      </c>
      <c r="B1532" s="330" t="s">
        <v>44</v>
      </c>
      <c r="C1532" s="331">
        <v>5924270339</v>
      </c>
      <c r="D1532" s="331">
        <v>2014364732</v>
      </c>
      <c r="E1532" s="331">
        <v>12216236</v>
      </c>
      <c r="F1532" s="331">
        <v>15230</v>
      </c>
      <c r="G1532" s="370">
        <f t="shared" si="69"/>
        <v>2.5707807254742498E-6</v>
      </c>
      <c r="H1532" s="370">
        <f t="shared" si="70"/>
        <v>7.5606963118732759E-6</v>
      </c>
      <c r="I1532" s="331">
        <v>49184</v>
      </c>
      <c r="J1532" s="331">
        <v>0</v>
      </c>
      <c r="K1532" s="331">
        <f t="shared" si="71"/>
        <v>49184</v>
      </c>
      <c r="L1532" s="199">
        <v>0.61</v>
      </c>
      <c r="M1532" s="199">
        <v>0.9</v>
      </c>
    </row>
    <row r="1533" spans="1:13" ht="15" customHeight="1" x14ac:dyDescent="0.25">
      <c r="A1533" s="49">
        <v>1999</v>
      </c>
      <c r="B1533" s="330" t="s">
        <v>44</v>
      </c>
      <c r="C1533" s="331">
        <v>6390551607</v>
      </c>
      <c r="D1533" s="331">
        <v>2097995315</v>
      </c>
      <c r="E1533" s="331">
        <v>12678811</v>
      </c>
      <c r="F1533" s="331">
        <v>15250</v>
      </c>
      <c r="G1533" s="370">
        <f t="shared" si="69"/>
        <v>2.3863354742798182E-6</v>
      </c>
      <c r="H1533" s="370">
        <f t="shared" si="70"/>
        <v>7.2688436866218645E-6</v>
      </c>
      <c r="I1533" s="331">
        <v>49777</v>
      </c>
      <c r="J1533" s="331">
        <v>0</v>
      </c>
      <c r="K1533" s="331">
        <f t="shared" si="71"/>
        <v>49777</v>
      </c>
      <c r="L1533" s="199">
        <v>0.6</v>
      </c>
      <c r="M1533" s="199">
        <v>0.9</v>
      </c>
    </row>
    <row r="1534" spans="1:13" ht="15" customHeight="1" x14ac:dyDescent="0.25">
      <c r="A1534" s="49">
        <v>2000</v>
      </c>
      <c r="B1534" s="330" t="s">
        <v>44</v>
      </c>
      <c r="C1534" s="331">
        <v>6796505215</v>
      </c>
      <c r="D1534" s="331">
        <v>2169035988</v>
      </c>
      <c r="E1534" s="331">
        <v>13411073</v>
      </c>
      <c r="F1534" s="331">
        <v>15187</v>
      </c>
      <c r="G1534" s="370">
        <f t="shared" si="69"/>
        <v>2.234530765382485E-6</v>
      </c>
      <c r="H1534" s="370">
        <f t="shared" si="70"/>
        <v>7.0017279953033219E-6</v>
      </c>
      <c r="I1534" s="331">
        <v>51445</v>
      </c>
      <c r="J1534" s="331">
        <v>0</v>
      </c>
      <c r="K1534" s="331">
        <f t="shared" si="71"/>
        <v>51445</v>
      </c>
      <c r="L1534" s="199">
        <v>0.62</v>
      </c>
      <c r="M1534" s="199">
        <v>0.9</v>
      </c>
    </row>
    <row r="1535" spans="1:13" ht="15" customHeight="1" x14ac:dyDescent="0.25">
      <c r="A1535" s="49">
        <v>2001</v>
      </c>
      <c r="B1535" s="330" t="s">
        <v>44</v>
      </c>
      <c r="C1535" s="331">
        <v>6970178820</v>
      </c>
      <c r="D1535" s="331">
        <v>2181776249</v>
      </c>
      <c r="E1535" s="331">
        <v>13452375</v>
      </c>
      <c r="F1535" s="331">
        <v>22767</v>
      </c>
      <c r="G1535" s="370">
        <f t="shared" si="69"/>
        <v>3.2663437464004688E-6</v>
      </c>
      <c r="H1535" s="370">
        <f t="shared" si="70"/>
        <v>1.0435075553891044E-5</v>
      </c>
      <c r="I1535" s="331">
        <v>45552</v>
      </c>
      <c r="J1535" s="331">
        <v>0</v>
      </c>
      <c r="K1535" s="331">
        <f t="shared" si="71"/>
        <v>45552</v>
      </c>
      <c r="L1535" s="199">
        <v>0.62</v>
      </c>
      <c r="M1535" s="199">
        <v>0.83</v>
      </c>
    </row>
    <row r="1536" spans="1:13" ht="15" customHeight="1" x14ac:dyDescent="0.25">
      <c r="A1536" s="49">
        <v>2002</v>
      </c>
      <c r="B1536" s="330" t="s">
        <v>44</v>
      </c>
      <c r="C1536" s="331">
        <v>7055706741</v>
      </c>
      <c r="D1536" s="331">
        <v>2151767357</v>
      </c>
      <c r="E1536" s="331">
        <v>13587319</v>
      </c>
      <c r="F1536" s="331">
        <v>29776</v>
      </c>
      <c r="G1536" s="370">
        <f t="shared" si="69"/>
        <v>4.220130044092489E-6</v>
      </c>
      <c r="H1536" s="370">
        <f t="shared" si="70"/>
        <v>1.3837927182571346E-5</v>
      </c>
      <c r="I1536" s="331">
        <v>51667</v>
      </c>
      <c r="J1536" s="331">
        <v>0</v>
      </c>
      <c r="K1536" s="331">
        <f t="shared" si="71"/>
        <v>51667</v>
      </c>
      <c r="L1536" s="199">
        <v>0.63</v>
      </c>
      <c r="M1536" s="199">
        <v>0.83</v>
      </c>
    </row>
    <row r="1537" spans="1:13" ht="15" customHeight="1" x14ac:dyDescent="0.25">
      <c r="A1537" s="49">
        <v>2003</v>
      </c>
      <c r="B1537" s="330" t="s">
        <v>44</v>
      </c>
      <c r="C1537" s="331">
        <v>7269781869</v>
      </c>
      <c r="D1537" s="331">
        <v>2134792446</v>
      </c>
      <c r="E1537" s="331">
        <v>14840817</v>
      </c>
      <c r="F1537" s="331">
        <v>31024</v>
      </c>
      <c r="G1537" s="370">
        <f t="shared" si="69"/>
        <v>4.2675283191499013E-6</v>
      </c>
      <c r="H1537" s="370">
        <f t="shared" si="70"/>
        <v>1.4532560323665302E-5</v>
      </c>
      <c r="I1537" s="331">
        <v>38218</v>
      </c>
      <c r="J1537" s="331">
        <v>0</v>
      </c>
      <c r="K1537" s="331">
        <f t="shared" si="71"/>
        <v>38218</v>
      </c>
      <c r="L1537" s="199">
        <v>0.7</v>
      </c>
      <c r="M1537" s="199">
        <v>0.83</v>
      </c>
    </row>
    <row r="1538" spans="1:13" ht="15" customHeight="1" x14ac:dyDescent="0.25">
      <c r="A1538" s="49">
        <v>2004</v>
      </c>
      <c r="B1538" s="330" t="s">
        <v>44</v>
      </c>
      <c r="C1538" s="331">
        <v>7670112483</v>
      </c>
      <c r="D1538" s="331">
        <v>2192374013</v>
      </c>
      <c r="E1538" s="331">
        <v>16423419</v>
      </c>
      <c r="F1538" s="331">
        <v>28129</v>
      </c>
      <c r="G1538" s="370">
        <f t="shared" ref="G1538:G1601" si="72">F1538/C1538</f>
        <v>3.6673516929960255E-6</v>
      </c>
      <c r="H1538" s="370">
        <f t="shared" ref="H1538:H1601" si="73">F1538/D1538</f>
        <v>1.2830383790906574E-5</v>
      </c>
      <c r="I1538" s="331">
        <v>27618</v>
      </c>
      <c r="J1538" s="331">
        <v>0</v>
      </c>
      <c r="K1538" s="331">
        <f t="shared" ref="K1538:K1601" si="74">I1538-J1538</f>
        <v>27618</v>
      </c>
      <c r="L1538" s="199">
        <v>0.75</v>
      </c>
      <c r="M1538" s="199">
        <v>0.83</v>
      </c>
    </row>
    <row r="1539" spans="1:13" ht="15" customHeight="1" x14ac:dyDescent="0.25">
      <c r="A1539" s="49">
        <v>2005</v>
      </c>
      <c r="B1539" s="330" t="s">
        <v>44</v>
      </c>
      <c r="C1539" s="331">
        <v>8045219023</v>
      </c>
      <c r="D1539" s="331">
        <v>2254539036</v>
      </c>
      <c r="E1539" s="331">
        <v>17464970</v>
      </c>
      <c r="F1539" s="331">
        <v>25776</v>
      </c>
      <c r="G1539" s="370">
        <f t="shared" si="72"/>
        <v>3.2038904007846797E-6</v>
      </c>
      <c r="H1539" s="370">
        <f t="shared" si="73"/>
        <v>1.1432935774636993E-5</v>
      </c>
      <c r="I1539" s="331">
        <v>20766</v>
      </c>
      <c r="J1539" s="331">
        <v>0</v>
      </c>
      <c r="K1539" s="331">
        <f t="shared" si="74"/>
        <v>20766</v>
      </c>
      <c r="L1539" s="199">
        <v>0.77</v>
      </c>
      <c r="M1539" s="199">
        <v>0.83</v>
      </c>
    </row>
    <row r="1540" spans="1:13" ht="15" customHeight="1" x14ac:dyDescent="0.25">
      <c r="A1540" s="49">
        <v>2006</v>
      </c>
      <c r="B1540" s="330" t="s">
        <v>44</v>
      </c>
      <c r="C1540" s="331">
        <v>8570554748</v>
      </c>
      <c r="D1540" s="331">
        <v>2338232136</v>
      </c>
      <c r="E1540" s="331">
        <v>18710545</v>
      </c>
      <c r="F1540" s="331">
        <v>20761</v>
      </c>
      <c r="G1540" s="370">
        <f t="shared" si="72"/>
        <v>2.4223636171094675E-6</v>
      </c>
      <c r="H1540" s="370">
        <f t="shared" si="73"/>
        <v>8.8789302312454404E-6</v>
      </c>
      <c r="I1540" s="331">
        <v>19504</v>
      </c>
      <c r="J1540" s="331">
        <v>0</v>
      </c>
      <c r="K1540" s="331">
        <f t="shared" si="74"/>
        <v>19504</v>
      </c>
      <c r="L1540" s="199">
        <v>0.8</v>
      </c>
      <c r="M1540" s="199">
        <v>0.83</v>
      </c>
    </row>
    <row r="1541" spans="1:13" x14ac:dyDescent="0.25">
      <c r="A1541" s="49">
        <v>2007</v>
      </c>
      <c r="B1541" s="330" t="s">
        <v>44</v>
      </c>
      <c r="C1541" s="331">
        <v>9174084054</v>
      </c>
      <c r="D1541" s="331">
        <v>2789367476</v>
      </c>
      <c r="E1541" s="331">
        <v>25724075</v>
      </c>
      <c r="F1541" s="331">
        <v>20753</v>
      </c>
      <c r="G1541" s="370">
        <f t="shared" si="72"/>
        <v>2.2621331871219847E-6</v>
      </c>
      <c r="H1541" s="370">
        <f t="shared" si="73"/>
        <v>7.440037993760561E-6</v>
      </c>
      <c r="I1541" s="331">
        <v>24680</v>
      </c>
      <c r="J1541" s="331">
        <v>0</v>
      </c>
      <c r="K1541" s="331">
        <f t="shared" si="74"/>
        <v>24680</v>
      </c>
      <c r="L1541" s="199">
        <v>0.92</v>
      </c>
      <c r="M1541" s="199">
        <v>0.83</v>
      </c>
    </row>
    <row r="1542" spans="1:13" ht="15" customHeight="1" x14ac:dyDescent="0.25">
      <c r="A1542" s="49">
        <v>2008</v>
      </c>
      <c r="B1542" s="330" t="s">
        <v>44</v>
      </c>
      <c r="C1542" s="331">
        <v>9547341536</v>
      </c>
      <c r="D1542" s="331">
        <v>2944049550</v>
      </c>
      <c r="E1542" s="331">
        <v>24667261</v>
      </c>
      <c r="F1542" s="331">
        <v>25041</v>
      </c>
      <c r="G1542" s="370">
        <f t="shared" si="72"/>
        <v>2.6228243648326944E-6</v>
      </c>
      <c r="H1542" s="370">
        <f t="shared" si="73"/>
        <v>8.5056312995818977E-6</v>
      </c>
      <c r="I1542" s="331">
        <v>25481</v>
      </c>
      <c r="J1542" s="331">
        <v>0</v>
      </c>
      <c r="K1542" s="331">
        <f t="shared" si="74"/>
        <v>25481</v>
      </c>
      <c r="L1542" s="199">
        <v>0.8</v>
      </c>
      <c r="M1542" s="199">
        <v>0.83</v>
      </c>
    </row>
    <row r="1543" spans="1:13" ht="15" customHeight="1" x14ac:dyDescent="0.25">
      <c r="A1543" s="49">
        <v>2009</v>
      </c>
      <c r="B1543" s="330" t="s">
        <v>44</v>
      </c>
      <c r="C1543" s="331">
        <v>9324250897</v>
      </c>
      <c r="D1543" s="331">
        <v>2932875803</v>
      </c>
      <c r="E1543" s="331">
        <v>28691771</v>
      </c>
      <c r="F1543" s="331">
        <v>63569</v>
      </c>
      <c r="G1543" s="370">
        <f t="shared" si="72"/>
        <v>6.81759861486061E-6</v>
      </c>
      <c r="H1543" s="370">
        <f t="shared" si="73"/>
        <v>2.167463072762103E-5</v>
      </c>
      <c r="I1543" s="331">
        <v>1222</v>
      </c>
      <c r="J1543" s="331">
        <v>7732</v>
      </c>
      <c r="K1543" s="331">
        <f t="shared" si="74"/>
        <v>-6510</v>
      </c>
      <c r="L1543" s="199">
        <v>1</v>
      </c>
      <c r="M1543" s="199">
        <v>0.51</v>
      </c>
    </row>
    <row r="1544" spans="1:13" ht="15" customHeight="1" x14ac:dyDescent="0.25">
      <c r="A1544" s="49">
        <v>2010</v>
      </c>
      <c r="B1544" s="330" t="s">
        <v>44</v>
      </c>
      <c r="C1544" s="331">
        <v>9512031275</v>
      </c>
      <c r="D1544" s="331">
        <v>3037675953</v>
      </c>
      <c r="E1544" s="331">
        <v>68974355</v>
      </c>
      <c r="F1544" s="331">
        <v>49698</v>
      </c>
      <c r="G1544" s="370">
        <f t="shared" si="72"/>
        <v>5.2247515344718E-6</v>
      </c>
      <c r="H1544" s="370">
        <f t="shared" si="73"/>
        <v>1.6360533766255878E-5</v>
      </c>
      <c r="I1544" s="331">
        <v>25767</v>
      </c>
      <c r="J1544" s="331">
        <v>0</v>
      </c>
      <c r="K1544" s="331">
        <f t="shared" si="74"/>
        <v>25767</v>
      </c>
      <c r="L1544" s="199">
        <v>2.2999999999999998</v>
      </c>
      <c r="M1544" s="199">
        <v>0.54</v>
      </c>
    </row>
    <row r="1545" spans="1:13" ht="15" customHeight="1" x14ac:dyDescent="0.25">
      <c r="A1545" s="49">
        <v>2011</v>
      </c>
      <c r="B1545" s="330" t="s">
        <v>44</v>
      </c>
      <c r="C1545" s="331">
        <v>9962973617</v>
      </c>
      <c r="D1545" s="331">
        <v>3347705206</v>
      </c>
      <c r="E1545" s="331">
        <v>47406123</v>
      </c>
      <c r="F1545" s="331">
        <v>38701</v>
      </c>
      <c r="G1545" s="370">
        <f t="shared" si="72"/>
        <v>3.8844828349202683E-6</v>
      </c>
      <c r="H1545" s="370">
        <f t="shared" si="73"/>
        <v>1.1560456377890521E-5</v>
      </c>
      <c r="I1545" s="331">
        <v>36940</v>
      </c>
      <c r="J1545" s="331">
        <v>0</v>
      </c>
      <c r="K1545" s="331">
        <f t="shared" si="74"/>
        <v>36940</v>
      </c>
      <c r="L1545" s="199">
        <v>1.4</v>
      </c>
      <c r="M1545" s="199">
        <v>0.54</v>
      </c>
    </row>
    <row r="1546" spans="1:13" ht="15" customHeight="1" x14ac:dyDescent="0.25">
      <c r="A1546" s="49">
        <v>2012</v>
      </c>
      <c r="B1546" s="330" t="s">
        <v>44</v>
      </c>
      <c r="C1546" s="331">
        <v>10461978633</v>
      </c>
      <c r="D1546" s="331">
        <v>3672139182</v>
      </c>
      <c r="E1546" s="331">
        <v>43828722</v>
      </c>
      <c r="F1546" s="331">
        <v>33317</v>
      </c>
      <c r="G1546" s="370">
        <f t="shared" si="72"/>
        <v>3.1845792434433851E-6</v>
      </c>
      <c r="H1546" s="370">
        <f t="shared" si="73"/>
        <v>9.072913184585279E-6</v>
      </c>
      <c r="I1546" s="331">
        <v>51696</v>
      </c>
      <c r="J1546" s="331">
        <v>0</v>
      </c>
      <c r="K1546" s="331">
        <f t="shared" si="74"/>
        <v>51696</v>
      </c>
      <c r="L1546" s="199">
        <v>1.19</v>
      </c>
      <c r="M1546" s="199">
        <v>0.54</v>
      </c>
    </row>
    <row r="1547" spans="1:13" ht="15" customHeight="1" x14ac:dyDescent="0.25">
      <c r="A1547" s="49">
        <v>2013</v>
      </c>
      <c r="B1547" s="330" t="s">
        <v>44</v>
      </c>
      <c r="C1547" s="331">
        <v>10763008397</v>
      </c>
      <c r="D1547" s="331">
        <v>3957841026</v>
      </c>
      <c r="E1547" s="331">
        <v>42135948</v>
      </c>
      <c r="F1547" s="331">
        <v>30107</v>
      </c>
      <c r="G1547" s="370">
        <f t="shared" si="72"/>
        <v>2.7972662372345448E-6</v>
      </c>
      <c r="H1547" s="370">
        <f t="shared" si="73"/>
        <v>7.6069250387319622E-6</v>
      </c>
      <c r="I1547" s="331">
        <v>65997</v>
      </c>
      <c r="J1547" s="331">
        <v>0</v>
      </c>
      <c r="K1547" s="331">
        <f t="shared" si="74"/>
        <v>65997</v>
      </c>
      <c r="L1547" s="199">
        <v>1.06</v>
      </c>
      <c r="M1547" s="199">
        <v>0.54</v>
      </c>
    </row>
    <row r="1548" spans="1:13" ht="15" customHeight="1" x14ac:dyDescent="0.25">
      <c r="A1548" s="49">
        <v>2014</v>
      </c>
      <c r="B1548" s="330" t="s">
        <v>44</v>
      </c>
      <c r="C1548" s="331">
        <v>11437934644</v>
      </c>
      <c r="D1548" s="331">
        <v>4324745291</v>
      </c>
      <c r="E1548" s="331">
        <v>42717263</v>
      </c>
      <c r="F1548" s="331">
        <v>26462</v>
      </c>
      <c r="G1548" s="370">
        <f t="shared" si="72"/>
        <v>2.3135295683719593E-6</v>
      </c>
      <c r="H1548" s="370">
        <f t="shared" si="73"/>
        <v>6.1187418493913792E-6</v>
      </c>
      <c r="I1548" s="331">
        <v>84767</v>
      </c>
      <c r="J1548" s="331">
        <v>0</v>
      </c>
      <c r="K1548" s="331">
        <f t="shared" si="74"/>
        <v>84767</v>
      </c>
      <c r="L1548" s="333">
        <v>0.98774055177068221</v>
      </c>
      <c r="M1548" s="199">
        <v>0.54</v>
      </c>
    </row>
    <row r="1549" spans="1:13" ht="15" customHeight="1" x14ac:dyDescent="0.25">
      <c r="A1549" s="49">
        <v>2015</v>
      </c>
      <c r="B1549" s="330" t="s">
        <v>44</v>
      </c>
      <c r="C1549" s="334">
        <v>12031989000</v>
      </c>
      <c r="D1549" s="334">
        <v>4662662000</v>
      </c>
      <c r="E1549" s="334">
        <v>36559000</v>
      </c>
      <c r="F1549" s="331">
        <v>24859</v>
      </c>
      <c r="G1549" s="370">
        <f t="shared" si="72"/>
        <v>2.0660756920572318E-6</v>
      </c>
      <c r="H1549" s="370">
        <f t="shared" si="73"/>
        <v>5.3315037633008787E-6</v>
      </c>
      <c r="I1549" s="331">
        <v>99458</v>
      </c>
      <c r="J1549" s="199">
        <v>0</v>
      </c>
      <c r="K1549" s="331">
        <f t="shared" si="74"/>
        <v>99458</v>
      </c>
      <c r="L1549" s="199">
        <v>0.8</v>
      </c>
      <c r="M1549" s="199">
        <v>0.54</v>
      </c>
    </row>
    <row r="1550" spans="1:13" ht="15" customHeight="1" x14ac:dyDescent="0.25">
      <c r="A1550" s="49">
        <v>1980</v>
      </c>
      <c r="B1550" s="330" t="s">
        <v>45</v>
      </c>
      <c r="C1550" s="331">
        <v>17322896104</v>
      </c>
      <c r="D1550" s="331">
        <v>8273722418</v>
      </c>
      <c r="E1550" s="331">
        <v>148312068</v>
      </c>
      <c r="F1550" s="331">
        <v>233519</v>
      </c>
      <c r="G1550" s="370">
        <f t="shared" si="72"/>
        <v>1.3480367174059223E-5</v>
      </c>
      <c r="H1550" s="370">
        <f t="shared" si="73"/>
        <v>2.8224176277894557E-5</v>
      </c>
      <c r="I1550" s="331">
        <v>207980</v>
      </c>
      <c r="J1550" s="331">
        <v>0</v>
      </c>
      <c r="K1550" s="331">
        <f t="shared" si="74"/>
        <v>207980</v>
      </c>
      <c r="L1550" s="199">
        <v>1.79</v>
      </c>
      <c r="M1550" s="199">
        <v>1.73</v>
      </c>
    </row>
    <row r="1551" spans="1:13" ht="15" customHeight="1" x14ac:dyDescent="0.25">
      <c r="A1551" s="49">
        <v>1981</v>
      </c>
      <c r="B1551" s="330" t="s">
        <v>45</v>
      </c>
      <c r="C1551" s="331">
        <v>18806810906</v>
      </c>
      <c r="D1551" s="331">
        <v>8489761771</v>
      </c>
      <c r="E1551" s="331">
        <v>153029145</v>
      </c>
      <c r="F1551" s="331">
        <v>208887</v>
      </c>
      <c r="G1551" s="370">
        <f t="shared" si="72"/>
        <v>1.1106986774315793E-5</v>
      </c>
      <c r="H1551" s="370">
        <f t="shared" si="73"/>
        <v>2.460457732907568E-5</v>
      </c>
      <c r="I1551" s="331">
        <v>146168</v>
      </c>
      <c r="J1551" s="331">
        <v>0</v>
      </c>
      <c r="K1551" s="331">
        <f t="shared" si="74"/>
        <v>146168</v>
      </c>
      <c r="L1551" s="199">
        <v>1.8</v>
      </c>
      <c r="M1551" s="199">
        <v>1.6</v>
      </c>
    </row>
    <row r="1552" spans="1:13" ht="15" customHeight="1" x14ac:dyDescent="0.25">
      <c r="A1552" s="49">
        <v>1982</v>
      </c>
      <c r="B1552" s="330" t="s">
        <v>45</v>
      </c>
      <c r="C1552" s="331">
        <v>19447161676</v>
      </c>
      <c r="D1552" s="331">
        <v>8355444764</v>
      </c>
      <c r="E1552" s="331">
        <v>205105304</v>
      </c>
      <c r="F1552" s="331">
        <v>323996</v>
      </c>
      <c r="G1552" s="370">
        <f t="shared" si="72"/>
        <v>1.6660323259401282E-5</v>
      </c>
      <c r="H1552" s="370">
        <f t="shared" si="73"/>
        <v>3.8776631184968003E-5</v>
      </c>
      <c r="I1552" s="331">
        <v>14954</v>
      </c>
      <c r="J1552" s="331">
        <v>0</v>
      </c>
      <c r="K1552" s="331">
        <f t="shared" si="74"/>
        <v>14954</v>
      </c>
      <c r="L1552" s="199">
        <v>2.4500000000000002</v>
      </c>
      <c r="M1552" s="199">
        <v>1.79</v>
      </c>
    </row>
    <row r="1553" spans="1:13" ht="15" customHeight="1" x14ac:dyDescent="0.25">
      <c r="A1553" s="49">
        <v>1983</v>
      </c>
      <c r="B1553" s="330" t="s">
        <v>45</v>
      </c>
      <c r="C1553" s="331">
        <v>20779473736</v>
      </c>
      <c r="D1553" s="331">
        <v>9561024604</v>
      </c>
      <c r="E1553" s="331">
        <v>293073294</v>
      </c>
      <c r="F1553" s="331">
        <v>233720</v>
      </c>
      <c r="G1553" s="370">
        <f t="shared" si="72"/>
        <v>1.1247638076371734E-5</v>
      </c>
      <c r="H1553" s="370">
        <f t="shared" si="73"/>
        <v>2.4445078815320661E-5</v>
      </c>
      <c r="I1553" s="331">
        <v>79776</v>
      </c>
      <c r="J1553" s="331">
        <v>0</v>
      </c>
      <c r="K1553" s="331">
        <f t="shared" si="74"/>
        <v>79776</v>
      </c>
      <c r="L1553" s="199">
        <v>3.07</v>
      </c>
      <c r="M1553" s="199">
        <v>1.79</v>
      </c>
    </row>
    <row r="1554" spans="1:13" ht="15" customHeight="1" x14ac:dyDescent="0.25">
      <c r="A1554" s="49">
        <v>1984</v>
      </c>
      <c r="B1554" s="330" t="s">
        <v>45</v>
      </c>
      <c r="C1554" s="331">
        <v>23039957548</v>
      </c>
      <c r="D1554" s="331">
        <v>10234747016</v>
      </c>
      <c r="E1554" s="331">
        <v>330012690</v>
      </c>
      <c r="F1554" s="331">
        <v>143164</v>
      </c>
      <c r="G1554" s="370">
        <f t="shared" si="72"/>
        <v>6.213726726785026E-6</v>
      </c>
      <c r="H1554" s="370">
        <f t="shared" si="73"/>
        <v>1.3988035051202677E-5</v>
      </c>
      <c r="I1554" s="331">
        <v>279128</v>
      </c>
      <c r="J1554" s="331">
        <v>0</v>
      </c>
      <c r="K1554" s="331">
        <f t="shared" si="74"/>
        <v>279128</v>
      </c>
      <c r="L1554" s="199">
        <v>3.22</v>
      </c>
      <c r="M1554" s="199">
        <v>1.79</v>
      </c>
    </row>
    <row r="1555" spans="1:13" ht="15" customHeight="1" x14ac:dyDescent="0.25">
      <c r="A1555" s="49">
        <v>1985</v>
      </c>
      <c r="B1555" s="330" t="s">
        <v>45</v>
      </c>
      <c r="C1555" s="331">
        <v>24741859794</v>
      </c>
      <c r="D1555" s="331">
        <v>10615720677</v>
      </c>
      <c r="E1555" s="331">
        <v>223442609</v>
      </c>
      <c r="F1555" s="331">
        <v>175638</v>
      </c>
      <c r="G1555" s="370">
        <f t="shared" si="72"/>
        <v>7.0988196304706614E-6</v>
      </c>
      <c r="H1555" s="370">
        <f t="shared" si="73"/>
        <v>1.6545084911713716E-5</v>
      </c>
      <c r="I1555" s="331">
        <v>374842</v>
      </c>
      <c r="J1555" s="331">
        <v>0</v>
      </c>
      <c r="K1555" s="331">
        <f t="shared" si="74"/>
        <v>374842</v>
      </c>
      <c r="L1555" s="199">
        <v>2.1</v>
      </c>
      <c r="M1555" s="199">
        <v>1.79</v>
      </c>
    </row>
    <row r="1556" spans="1:13" ht="15" customHeight="1" x14ac:dyDescent="0.25">
      <c r="A1556" s="49">
        <v>1986</v>
      </c>
      <c r="B1556" s="330" t="s">
        <v>45</v>
      </c>
      <c r="C1556" s="331">
        <v>26717789053</v>
      </c>
      <c r="D1556" s="331">
        <v>11061193153</v>
      </c>
      <c r="E1556" s="331">
        <v>190349970</v>
      </c>
      <c r="F1556" s="331">
        <v>171541</v>
      </c>
      <c r="G1556" s="370">
        <f t="shared" si="72"/>
        <v>6.4204788674584797E-6</v>
      </c>
      <c r="H1556" s="370">
        <f t="shared" si="73"/>
        <v>1.5508363123871038E-5</v>
      </c>
      <c r="I1556" s="331">
        <v>431389</v>
      </c>
      <c r="J1556" s="331">
        <v>0</v>
      </c>
      <c r="K1556" s="331">
        <f t="shared" si="74"/>
        <v>431389</v>
      </c>
      <c r="L1556" s="199">
        <v>1.72</v>
      </c>
      <c r="M1556" s="199">
        <v>1.79</v>
      </c>
    </row>
    <row r="1557" spans="1:13" ht="15" customHeight="1" x14ac:dyDescent="0.25">
      <c r="A1557" s="49">
        <v>1987</v>
      </c>
      <c r="B1557" s="330" t="s">
        <v>45</v>
      </c>
      <c r="C1557" s="331">
        <v>29252328307</v>
      </c>
      <c r="D1557" s="331">
        <v>11712959063</v>
      </c>
      <c r="E1557" s="331">
        <v>199332317</v>
      </c>
      <c r="F1557" s="331">
        <v>161626</v>
      </c>
      <c r="G1557" s="370">
        <f t="shared" si="72"/>
        <v>5.5252354036148077E-6</v>
      </c>
      <c r="H1557" s="370">
        <f t="shared" si="73"/>
        <v>1.3798904199243678E-5</v>
      </c>
      <c r="I1557" s="331">
        <v>506453</v>
      </c>
      <c r="J1557" s="331">
        <v>0</v>
      </c>
      <c r="K1557" s="331">
        <f t="shared" si="74"/>
        <v>506453</v>
      </c>
      <c r="L1557" s="199">
        <v>1.7</v>
      </c>
      <c r="M1557" s="199">
        <v>1.79</v>
      </c>
    </row>
    <row r="1558" spans="1:13" ht="15" customHeight="1" x14ac:dyDescent="0.25">
      <c r="A1558" s="49">
        <v>1988</v>
      </c>
      <c r="B1558" s="330" t="s">
        <v>45</v>
      </c>
      <c r="C1558" s="331">
        <v>31543702549</v>
      </c>
      <c r="D1558" s="331">
        <v>12262836726</v>
      </c>
      <c r="E1558" s="331">
        <v>207357429</v>
      </c>
      <c r="F1558" s="331">
        <v>177134</v>
      </c>
      <c r="G1558" s="370">
        <f t="shared" si="72"/>
        <v>5.6155107259472781E-6</v>
      </c>
      <c r="H1558" s="370">
        <f t="shared" si="73"/>
        <v>1.4444781738342456E-5</v>
      </c>
      <c r="I1558" s="331">
        <v>582041</v>
      </c>
      <c r="J1558" s="331">
        <v>0</v>
      </c>
      <c r="K1558" s="331">
        <f t="shared" si="74"/>
        <v>582041</v>
      </c>
      <c r="L1558" s="199">
        <v>1.69</v>
      </c>
      <c r="M1558" s="199">
        <v>1.79</v>
      </c>
    </row>
    <row r="1559" spans="1:13" ht="15" customHeight="1" x14ac:dyDescent="0.25">
      <c r="A1559" s="49">
        <v>1989</v>
      </c>
      <c r="B1559" s="330" t="s">
        <v>45</v>
      </c>
      <c r="C1559" s="331">
        <v>33495574035</v>
      </c>
      <c r="D1559" s="331">
        <v>12675914113</v>
      </c>
      <c r="E1559" s="331">
        <v>209710351</v>
      </c>
      <c r="F1559" s="331">
        <v>191331</v>
      </c>
      <c r="G1559" s="370">
        <f t="shared" si="72"/>
        <v>5.7121278112766639E-6</v>
      </c>
      <c r="H1559" s="370">
        <f t="shared" si="73"/>
        <v>1.5094059354960225E-5</v>
      </c>
      <c r="I1559" s="331">
        <v>657120</v>
      </c>
      <c r="J1559" s="331">
        <v>0</v>
      </c>
      <c r="K1559" s="331">
        <f t="shared" si="74"/>
        <v>657120</v>
      </c>
      <c r="L1559" s="199">
        <v>1.65</v>
      </c>
      <c r="M1559" s="199">
        <v>1.79</v>
      </c>
    </row>
    <row r="1560" spans="1:13" ht="15" customHeight="1" x14ac:dyDescent="0.25">
      <c r="A1560" s="49">
        <v>1990</v>
      </c>
      <c r="B1560" s="330" t="s">
        <v>45</v>
      </c>
      <c r="C1560" s="331">
        <v>35279545507</v>
      </c>
      <c r="D1560" s="331">
        <v>12913803901</v>
      </c>
      <c r="E1560" s="331">
        <v>207460967</v>
      </c>
      <c r="F1560" s="331">
        <v>248500</v>
      </c>
      <c r="G1560" s="370">
        <f t="shared" si="72"/>
        <v>7.043741534331666E-6</v>
      </c>
      <c r="H1560" s="370">
        <f t="shared" si="73"/>
        <v>1.9242974564663866E-5</v>
      </c>
      <c r="I1560" s="331">
        <v>678049</v>
      </c>
      <c r="J1560" s="331">
        <v>0</v>
      </c>
      <c r="K1560" s="331">
        <f t="shared" si="74"/>
        <v>678049</v>
      </c>
      <c r="L1560" s="199">
        <v>1.61</v>
      </c>
      <c r="M1560" s="199">
        <v>1.79</v>
      </c>
    </row>
    <row r="1561" spans="1:13" ht="15" customHeight="1" x14ac:dyDescent="0.25">
      <c r="A1561" s="49">
        <v>1991</v>
      </c>
      <c r="B1561" s="330" t="s">
        <v>45</v>
      </c>
      <c r="C1561" s="331">
        <v>36614962406</v>
      </c>
      <c r="D1561" s="331">
        <v>12883469064</v>
      </c>
      <c r="E1561" s="331">
        <v>205414229</v>
      </c>
      <c r="F1561" s="331">
        <v>324657</v>
      </c>
      <c r="G1561" s="370">
        <f t="shared" si="72"/>
        <v>8.8667850153739141E-6</v>
      </c>
      <c r="H1561" s="370">
        <f t="shared" si="73"/>
        <v>2.5199501654968231E-5</v>
      </c>
      <c r="I1561" s="331">
        <v>612653</v>
      </c>
      <c r="J1561" s="331">
        <v>0</v>
      </c>
      <c r="K1561" s="331">
        <f t="shared" si="74"/>
        <v>612653</v>
      </c>
      <c r="L1561" s="199">
        <v>1.59</v>
      </c>
      <c r="M1561" s="199">
        <v>1.79</v>
      </c>
    </row>
    <row r="1562" spans="1:13" ht="15" customHeight="1" x14ac:dyDescent="0.25">
      <c r="A1562" s="49">
        <v>1992</v>
      </c>
      <c r="B1562" s="330" t="s">
        <v>45</v>
      </c>
      <c r="C1562" s="331">
        <v>40112138899</v>
      </c>
      <c r="D1562" s="331">
        <v>13361390442</v>
      </c>
      <c r="E1562" s="331">
        <v>224885618</v>
      </c>
      <c r="F1562" s="331">
        <v>278841</v>
      </c>
      <c r="G1562" s="370">
        <f t="shared" si="72"/>
        <v>6.9515365585990117E-6</v>
      </c>
      <c r="H1562" s="370">
        <f t="shared" si="73"/>
        <v>2.0869160377463056E-5</v>
      </c>
      <c r="I1562" s="331">
        <v>603130</v>
      </c>
      <c r="J1562" s="331">
        <v>0</v>
      </c>
      <c r="K1562" s="331">
        <f t="shared" si="74"/>
        <v>603130</v>
      </c>
      <c r="L1562" s="199">
        <v>1.68</v>
      </c>
      <c r="M1562" s="199">
        <v>1.79</v>
      </c>
    </row>
    <row r="1563" spans="1:13" ht="15" customHeight="1" x14ac:dyDescent="0.25">
      <c r="A1563" s="49">
        <v>1993</v>
      </c>
      <c r="B1563" s="330" t="s">
        <v>45</v>
      </c>
      <c r="C1563" s="331">
        <v>42675343973</v>
      </c>
      <c r="D1563" s="331">
        <v>13953338783</v>
      </c>
      <c r="E1563" s="331">
        <v>251133221</v>
      </c>
      <c r="F1563" s="331">
        <v>230030</v>
      </c>
      <c r="G1563" s="370">
        <f t="shared" si="72"/>
        <v>5.3902318900003777E-6</v>
      </c>
      <c r="H1563" s="370">
        <f t="shared" si="73"/>
        <v>1.648566006870386E-5</v>
      </c>
      <c r="I1563" s="331">
        <v>672261</v>
      </c>
      <c r="J1563" s="331">
        <v>0</v>
      </c>
      <c r="K1563" s="331">
        <f t="shared" si="74"/>
        <v>672261</v>
      </c>
      <c r="L1563" s="199">
        <v>1.8</v>
      </c>
      <c r="M1563" s="199">
        <v>1.79</v>
      </c>
    </row>
    <row r="1564" spans="1:13" ht="15" customHeight="1" x14ac:dyDescent="0.25">
      <c r="A1564" s="49">
        <v>1994</v>
      </c>
      <c r="B1564" s="330" t="s">
        <v>45</v>
      </c>
      <c r="C1564" s="331">
        <v>46004860392</v>
      </c>
      <c r="D1564" s="331">
        <v>14903274141</v>
      </c>
      <c r="E1564" s="331">
        <v>269909260</v>
      </c>
      <c r="F1564" s="331">
        <v>242255</v>
      </c>
      <c r="G1564" s="370">
        <f t="shared" si="72"/>
        <v>5.2658566494014805E-6</v>
      </c>
      <c r="H1564" s="370">
        <f t="shared" si="73"/>
        <v>1.6255152908550391E-5</v>
      </c>
      <c r="I1564" s="331">
        <v>747477</v>
      </c>
      <c r="J1564" s="331">
        <v>0</v>
      </c>
      <c r="K1564" s="331">
        <f t="shared" si="74"/>
        <v>747477</v>
      </c>
      <c r="L1564" s="199">
        <v>1.81</v>
      </c>
      <c r="M1564" s="199">
        <v>1.79</v>
      </c>
    </row>
    <row r="1565" spans="1:13" ht="15" customHeight="1" x14ac:dyDescent="0.25">
      <c r="A1565" s="49">
        <v>1995</v>
      </c>
      <c r="B1565" s="330" t="s">
        <v>45</v>
      </c>
      <c r="C1565" s="331">
        <v>49677500950</v>
      </c>
      <c r="D1565" s="331">
        <v>15621684468</v>
      </c>
      <c r="E1565" s="331">
        <v>273661242</v>
      </c>
      <c r="F1565" s="331">
        <v>256409</v>
      </c>
      <c r="G1565" s="370">
        <f t="shared" si="72"/>
        <v>5.1614713924131082E-6</v>
      </c>
      <c r="H1565" s="370">
        <f t="shared" si="73"/>
        <v>1.641365888072039E-5</v>
      </c>
      <c r="I1565" s="331">
        <v>822821</v>
      </c>
      <c r="J1565" s="331">
        <v>0</v>
      </c>
      <c r="K1565" s="331">
        <f t="shared" si="74"/>
        <v>822821</v>
      </c>
      <c r="L1565" s="199">
        <v>1.75</v>
      </c>
      <c r="M1565" s="199">
        <v>1.47</v>
      </c>
    </row>
    <row r="1566" spans="1:13" ht="15" customHeight="1" x14ac:dyDescent="0.25">
      <c r="A1566" s="49">
        <v>1996</v>
      </c>
      <c r="B1566" s="330" t="s">
        <v>45</v>
      </c>
      <c r="C1566" s="331">
        <v>52262745889</v>
      </c>
      <c r="D1566" s="331">
        <v>15980242112</v>
      </c>
      <c r="E1566" s="331">
        <v>260246639</v>
      </c>
      <c r="F1566" s="331">
        <v>312045</v>
      </c>
      <c r="G1566" s="370">
        <f t="shared" si="72"/>
        <v>5.9706966155729233E-6</v>
      </c>
      <c r="H1566" s="370">
        <f t="shared" si="73"/>
        <v>1.9526925675655244E-5</v>
      </c>
      <c r="I1566" s="331">
        <v>826526</v>
      </c>
      <c r="J1566" s="331">
        <v>0</v>
      </c>
      <c r="K1566" s="331">
        <f t="shared" si="74"/>
        <v>826526</v>
      </c>
      <c r="L1566" s="199">
        <v>1.63</v>
      </c>
      <c r="M1566" s="199">
        <v>1.46</v>
      </c>
    </row>
    <row r="1567" spans="1:13" ht="15" customHeight="1" x14ac:dyDescent="0.25">
      <c r="A1567" s="49">
        <v>1997</v>
      </c>
      <c r="B1567" s="330" t="s">
        <v>45</v>
      </c>
      <c r="C1567" s="331">
        <v>56443821041</v>
      </c>
      <c r="D1567" s="331">
        <v>16754977335</v>
      </c>
      <c r="E1567" s="331">
        <v>259739403</v>
      </c>
      <c r="F1567" s="331">
        <v>292586</v>
      </c>
      <c r="G1567" s="370">
        <f t="shared" si="72"/>
        <v>5.1836674874911397E-6</v>
      </c>
      <c r="H1567" s="370">
        <f t="shared" si="73"/>
        <v>1.7462631798898819E-5</v>
      </c>
      <c r="I1567" s="331">
        <v>847842</v>
      </c>
      <c r="J1567" s="331">
        <v>0</v>
      </c>
      <c r="K1567" s="331">
        <f t="shared" si="74"/>
        <v>847842</v>
      </c>
      <c r="L1567" s="199">
        <v>1.55</v>
      </c>
      <c r="M1567" s="199">
        <v>1.46</v>
      </c>
    </row>
    <row r="1568" spans="1:13" ht="15" customHeight="1" x14ac:dyDescent="0.25">
      <c r="A1568" s="49">
        <v>1998</v>
      </c>
      <c r="B1568" s="330" t="s">
        <v>45</v>
      </c>
      <c r="C1568" s="331">
        <v>60430193817</v>
      </c>
      <c r="D1568" s="331">
        <v>17324452619</v>
      </c>
      <c r="E1568" s="331">
        <v>277264951</v>
      </c>
      <c r="F1568" s="331">
        <v>300944</v>
      </c>
      <c r="G1568" s="370">
        <f t="shared" si="72"/>
        <v>4.9800270525582786E-6</v>
      </c>
      <c r="H1568" s="370">
        <f t="shared" si="73"/>
        <v>1.7371053886571285E-5</v>
      </c>
      <c r="I1568" s="331">
        <v>870968</v>
      </c>
      <c r="J1568" s="331">
        <v>0</v>
      </c>
      <c r="K1568" s="331">
        <f t="shared" si="74"/>
        <v>870968</v>
      </c>
      <c r="L1568" s="199">
        <v>1.6</v>
      </c>
      <c r="M1568" s="199">
        <v>1.46</v>
      </c>
    </row>
    <row r="1569" spans="1:13" ht="15" customHeight="1" x14ac:dyDescent="0.25">
      <c r="A1569" s="49">
        <v>1999</v>
      </c>
      <c r="B1569" s="330" t="s">
        <v>45</v>
      </c>
      <c r="C1569" s="331">
        <v>63912523761</v>
      </c>
      <c r="D1569" s="331">
        <v>17998708544</v>
      </c>
      <c r="E1569" s="331">
        <v>271271337</v>
      </c>
      <c r="F1569" s="331">
        <v>312725</v>
      </c>
      <c r="G1569" s="370">
        <f t="shared" si="72"/>
        <v>4.8930159786747089E-6</v>
      </c>
      <c r="H1569" s="370">
        <f t="shared" si="73"/>
        <v>1.7374857714680266E-5</v>
      </c>
      <c r="I1569" s="331">
        <v>887839</v>
      </c>
      <c r="J1569" s="331">
        <v>0</v>
      </c>
      <c r="K1569" s="331">
        <f t="shared" si="74"/>
        <v>887839</v>
      </c>
      <c r="L1569" s="199">
        <v>1.51</v>
      </c>
      <c r="M1569" s="199">
        <v>1.46</v>
      </c>
    </row>
    <row r="1570" spans="1:13" ht="15" customHeight="1" x14ac:dyDescent="0.25">
      <c r="A1570" s="49">
        <v>2000</v>
      </c>
      <c r="B1570" s="330" t="s">
        <v>45</v>
      </c>
      <c r="C1570" s="331">
        <v>67188860941</v>
      </c>
      <c r="D1570" s="331">
        <v>18370728476</v>
      </c>
      <c r="E1570" s="331">
        <v>282547005</v>
      </c>
      <c r="F1570" s="331">
        <v>351845</v>
      </c>
      <c r="G1570" s="370">
        <f t="shared" si="72"/>
        <v>5.2366567176806695E-6</v>
      </c>
      <c r="H1570" s="370">
        <f t="shared" si="73"/>
        <v>1.9152479470787427E-5</v>
      </c>
      <c r="I1570" s="331">
        <v>883170</v>
      </c>
      <c r="J1570" s="331">
        <v>0</v>
      </c>
      <c r="K1570" s="331">
        <f t="shared" si="74"/>
        <v>883170</v>
      </c>
      <c r="L1570" s="199">
        <v>1.54</v>
      </c>
      <c r="M1570" s="199">
        <v>1.46</v>
      </c>
    </row>
    <row r="1571" spans="1:13" ht="15" customHeight="1" x14ac:dyDescent="0.25">
      <c r="A1571" s="49">
        <v>2001</v>
      </c>
      <c r="B1571" s="330" t="s">
        <v>45</v>
      </c>
      <c r="C1571" s="331">
        <v>67639278550</v>
      </c>
      <c r="D1571" s="331">
        <v>17750630451</v>
      </c>
      <c r="E1571" s="331">
        <v>272219751</v>
      </c>
      <c r="F1571" s="331">
        <v>565965</v>
      </c>
      <c r="G1571" s="370">
        <f t="shared" si="72"/>
        <v>8.367401488199345E-6</v>
      </c>
      <c r="H1571" s="370">
        <f t="shared" si="73"/>
        <v>3.1884219637287065E-5</v>
      </c>
      <c r="I1571" s="331">
        <v>650664</v>
      </c>
      <c r="J1571" s="331">
        <v>0</v>
      </c>
      <c r="K1571" s="331">
        <f t="shared" si="74"/>
        <v>650664</v>
      </c>
      <c r="L1571" s="199">
        <v>1.53</v>
      </c>
      <c r="M1571" s="199">
        <v>1.36</v>
      </c>
    </row>
    <row r="1572" spans="1:13" ht="15" customHeight="1" x14ac:dyDescent="0.25">
      <c r="A1572" s="49">
        <v>2002</v>
      </c>
      <c r="B1572" s="330" t="s">
        <v>45</v>
      </c>
      <c r="C1572" s="331">
        <v>68599274847</v>
      </c>
      <c r="D1572" s="331">
        <v>17431436231</v>
      </c>
      <c r="E1572" s="331">
        <v>336015309</v>
      </c>
      <c r="F1572" s="331">
        <v>591051</v>
      </c>
      <c r="G1572" s="370">
        <f t="shared" si="72"/>
        <v>8.6159948675586905E-6</v>
      </c>
      <c r="H1572" s="370">
        <f t="shared" si="73"/>
        <v>3.3907188837881136E-5</v>
      </c>
      <c r="I1572" s="331">
        <v>591697</v>
      </c>
      <c r="J1572" s="331">
        <v>0</v>
      </c>
      <c r="K1572" s="331">
        <f t="shared" si="74"/>
        <v>591697</v>
      </c>
      <c r="L1572" s="199">
        <v>1.93</v>
      </c>
      <c r="M1572" s="199">
        <v>1.36</v>
      </c>
    </row>
    <row r="1573" spans="1:13" ht="15" customHeight="1" x14ac:dyDescent="0.25">
      <c r="A1573" s="49">
        <v>2003</v>
      </c>
      <c r="B1573" s="330" t="s">
        <v>45</v>
      </c>
      <c r="C1573" s="331">
        <v>70580064495</v>
      </c>
      <c r="D1573" s="331">
        <v>17298710273</v>
      </c>
      <c r="E1573" s="331">
        <v>442958682</v>
      </c>
      <c r="F1573" s="331">
        <v>558679</v>
      </c>
      <c r="G1573" s="370">
        <f t="shared" si="72"/>
        <v>7.9155354135384456E-6</v>
      </c>
      <c r="H1573" s="370">
        <f t="shared" si="73"/>
        <v>3.2295991503597339E-5</v>
      </c>
      <c r="I1573" s="331">
        <v>499035</v>
      </c>
      <c r="J1573" s="331">
        <v>0</v>
      </c>
      <c r="K1573" s="331">
        <f t="shared" si="74"/>
        <v>499035</v>
      </c>
      <c r="L1573" s="199">
        <v>2.56</v>
      </c>
      <c r="M1573" s="199">
        <v>1.36</v>
      </c>
    </row>
    <row r="1574" spans="1:13" ht="15" customHeight="1" x14ac:dyDescent="0.25">
      <c r="A1574" s="49">
        <v>2004</v>
      </c>
      <c r="B1574" s="330" t="s">
        <v>45</v>
      </c>
      <c r="C1574" s="331">
        <v>74775451787</v>
      </c>
      <c r="D1574" s="331">
        <v>17837533842</v>
      </c>
      <c r="E1574" s="331">
        <v>487710333</v>
      </c>
      <c r="F1574" s="331">
        <v>452395</v>
      </c>
      <c r="G1574" s="370">
        <f t="shared" si="72"/>
        <v>6.0500470299886652E-6</v>
      </c>
      <c r="H1574" s="370">
        <f t="shared" si="73"/>
        <v>2.5361970102324192E-5</v>
      </c>
      <c r="I1574" s="331">
        <v>574448</v>
      </c>
      <c r="J1574" s="331">
        <v>0</v>
      </c>
      <c r="K1574" s="331">
        <f t="shared" si="74"/>
        <v>574448</v>
      </c>
      <c r="L1574" s="199">
        <v>2.73</v>
      </c>
      <c r="M1574" s="199">
        <v>1.36</v>
      </c>
    </row>
    <row r="1575" spans="1:13" ht="15" customHeight="1" x14ac:dyDescent="0.25">
      <c r="A1575" s="49">
        <v>2005</v>
      </c>
      <c r="B1575" s="330" t="s">
        <v>45</v>
      </c>
      <c r="C1575" s="331">
        <v>78250310376</v>
      </c>
      <c r="D1575" s="331">
        <v>18229352692</v>
      </c>
      <c r="E1575" s="331">
        <v>433810789</v>
      </c>
      <c r="F1575" s="331">
        <v>416993</v>
      </c>
      <c r="G1575" s="370">
        <f t="shared" si="72"/>
        <v>5.328962888406576E-6</v>
      </c>
      <c r="H1575" s="370">
        <f t="shared" si="73"/>
        <v>2.2874811138137586E-5</v>
      </c>
      <c r="I1575" s="331">
        <v>634888</v>
      </c>
      <c r="J1575" s="331">
        <v>0</v>
      </c>
      <c r="K1575" s="331">
        <f t="shared" si="74"/>
        <v>634888</v>
      </c>
      <c r="L1575" s="199">
        <v>2.38</v>
      </c>
      <c r="M1575" s="199">
        <v>1.36</v>
      </c>
    </row>
    <row r="1576" spans="1:13" x14ac:dyDescent="0.25">
      <c r="A1576" s="49">
        <v>2006</v>
      </c>
      <c r="B1576" s="330" t="s">
        <v>45</v>
      </c>
      <c r="C1576" s="331">
        <v>83501064507</v>
      </c>
      <c r="D1576" s="331">
        <v>18659720690</v>
      </c>
      <c r="E1576" s="331">
        <v>360138608</v>
      </c>
      <c r="F1576" s="331">
        <v>390761</v>
      </c>
      <c r="G1576" s="370">
        <f t="shared" si="72"/>
        <v>4.6797127953649266E-6</v>
      </c>
      <c r="H1576" s="370">
        <f t="shared" si="73"/>
        <v>2.094141742482856E-5</v>
      </c>
      <c r="I1576" s="331">
        <v>634285</v>
      </c>
      <c r="J1576" s="331">
        <v>0</v>
      </c>
      <c r="K1576" s="331">
        <f t="shared" si="74"/>
        <v>634285</v>
      </c>
      <c r="L1576" s="199">
        <v>1.93</v>
      </c>
      <c r="M1576" s="199">
        <v>1.36</v>
      </c>
    </row>
    <row r="1577" spans="1:13" ht="15" customHeight="1" x14ac:dyDescent="0.25">
      <c r="A1577" s="49">
        <v>2007</v>
      </c>
      <c r="B1577" s="330" t="s">
        <v>45</v>
      </c>
      <c r="C1577" s="331">
        <v>87197147822</v>
      </c>
      <c r="D1577" s="331">
        <v>18854364356</v>
      </c>
      <c r="E1577" s="331">
        <v>347045048</v>
      </c>
      <c r="F1577" s="331">
        <v>424793</v>
      </c>
      <c r="G1577" s="370">
        <f t="shared" si="72"/>
        <v>4.8716387016138615E-6</v>
      </c>
      <c r="H1577" s="370">
        <f t="shared" si="73"/>
        <v>2.2530221225136062E-5</v>
      </c>
      <c r="I1577" s="331">
        <v>566161</v>
      </c>
      <c r="J1577" s="331">
        <v>0</v>
      </c>
      <c r="K1577" s="331">
        <f t="shared" si="74"/>
        <v>566161</v>
      </c>
      <c r="L1577" s="199">
        <v>1.84</v>
      </c>
      <c r="M1577" s="199">
        <v>1.36</v>
      </c>
    </row>
    <row r="1578" spans="1:13" ht="15" customHeight="1" x14ac:dyDescent="0.25">
      <c r="A1578" s="49">
        <v>2008</v>
      </c>
      <c r="B1578" s="330" t="s">
        <v>45</v>
      </c>
      <c r="C1578" s="331">
        <v>87725991907</v>
      </c>
      <c r="D1578" s="331">
        <v>18502640311</v>
      </c>
      <c r="E1578" s="331">
        <v>386170398</v>
      </c>
      <c r="F1578" s="331">
        <v>548090</v>
      </c>
      <c r="G1578" s="370">
        <f t="shared" si="72"/>
        <v>6.2477492483760194E-6</v>
      </c>
      <c r="H1578" s="370">
        <f t="shared" si="73"/>
        <v>2.962225881211965E-5</v>
      </c>
      <c r="I1578" s="331">
        <v>438292</v>
      </c>
      <c r="J1578" s="331">
        <v>0</v>
      </c>
      <c r="K1578" s="331">
        <f t="shared" si="74"/>
        <v>438292</v>
      </c>
      <c r="L1578" s="199">
        <v>2.1</v>
      </c>
      <c r="M1578" s="199">
        <v>1.36</v>
      </c>
    </row>
    <row r="1579" spans="1:13" ht="15" customHeight="1" x14ac:dyDescent="0.25">
      <c r="A1579" s="49">
        <v>2009</v>
      </c>
      <c r="B1579" s="330" t="s">
        <v>45</v>
      </c>
      <c r="C1579" s="331">
        <v>81779120403</v>
      </c>
      <c r="D1579" s="331">
        <v>20121228281</v>
      </c>
      <c r="E1579" s="331">
        <v>633124363</v>
      </c>
      <c r="F1579" s="331">
        <v>1062775</v>
      </c>
      <c r="G1579" s="370">
        <f t="shared" si="72"/>
        <v>1.2995676583004835E-5</v>
      </c>
      <c r="H1579" s="370">
        <f t="shared" si="73"/>
        <v>5.2818594628418053E-5</v>
      </c>
      <c r="I1579" s="331">
        <v>167600</v>
      </c>
      <c r="J1579" s="331">
        <v>0</v>
      </c>
      <c r="K1579" s="331">
        <f t="shared" si="74"/>
        <v>167600</v>
      </c>
      <c r="L1579" s="199">
        <v>3.1</v>
      </c>
      <c r="M1579" s="199">
        <v>1.02</v>
      </c>
    </row>
    <row r="1580" spans="1:13" ht="15" customHeight="1" x14ac:dyDescent="0.25">
      <c r="A1580" s="49">
        <v>2010</v>
      </c>
      <c r="B1580" s="330" t="s">
        <v>45</v>
      </c>
      <c r="C1580" s="331">
        <v>84299241961</v>
      </c>
      <c r="D1580" s="331">
        <v>20781730986</v>
      </c>
      <c r="E1580" s="331">
        <v>663853132</v>
      </c>
      <c r="F1580" s="331">
        <v>684130</v>
      </c>
      <c r="G1580" s="370">
        <f t="shared" si="72"/>
        <v>8.1154940908781165E-6</v>
      </c>
      <c r="H1580" s="370">
        <f t="shared" si="73"/>
        <v>3.2919779418801873E-5</v>
      </c>
      <c r="I1580" s="331">
        <v>159482</v>
      </c>
      <c r="J1580" s="331">
        <v>0</v>
      </c>
      <c r="K1580" s="331">
        <f t="shared" si="74"/>
        <v>159482</v>
      </c>
      <c r="L1580" s="199">
        <v>3.2</v>
      </c>
      <c r="M1580" s="199">
        <v>1.02</v>
      </c>
    </row>
    <row r="1581" spans="1:13" ht="15" customHeight="1" x14ac:dyDescent="0.25">
      <c r="A1581" s="49">
        <v>2011</v>
      </c>
      <c r="B1581" s="330" t="s">
        <v>45</v>
      </c>
      <c r="C1581" s="331">
        <v>87927727429</v>
      </c>
      <c r="D1581" s="331">
        <v>21398620609</v>
      </c>
      <c r="E1581" s="331">
        <v>717649819</v>
      </c>
      <c r="F1581" s="331">
        <v>572680</v>
      </c>
      <c r="G1581" s="370">
        <f t="shared" si="72"/>
        <v>6.5130763269462233E-6</v>
      </c>
      <c r="H1581" s="370">
        <f t="shared" si="73"/>
        <v>2.6762472706261157E-5</v>
      </c>
      <c r="I1581" s="331">
        <v>311083</v>
      </c>
      <c r="J1581" s="331">
        <v>0</v>
      </c>
      <c r="K1581" s="331">
        <f t="shared" si="74"/>
        <v>311083</v>
      </c>
      <c r="L1581" s="199">
        <v>3.4</v>
      </c>
      <c r="M1581" s="199">
        <v>1.02</v>
      </c>
    </row>
    <row r="1582" spans="1:13" ht="15" customHeight="1" x14ac:dyDescent="0.25">
      <c r="A1582" s="49">
        <v>2012</v>
      </c>
      <c r="B1582" s="330" t="s">
        <v>45</v>
      </c>
      <c r="C1582" s="331">
        <v>93807303169</v>
      </c>
      <c r="D1582" s="331">
        <v>22171777268</v>
      </c>
      <c r="E1582" s="331">
        <v>703793387</v>
      </c>
      <c r="F1582" s="331">
        <v>494191</v>
      </c>
      <c r="G1582" s="370">
        <f t="shared" si="72"/>
        <v>5.2681505949454971E-6</v>
      </c>
      <c r="H1582" s="370">
        <f t="shared" si="73"/>
        <v>2.2289191977102085E-5</v>
      </c>
      <c r="I1582" s="331">
        <v>547167</v>
      </c>
      <c r="J1582" s="331">
        <v>0</v>
      </c>
      <c r="K1582" s="331">
        <f t="shared" si="74"/>
        <v>547167</v>
      </c>
      <c r="L1582" s="199">
        <v>3.17</v>
      </c>
      <c r="M1582" s="199">
        <v>1.02</v>
      </c>
    </row>
    <row r="1583" spans="1:13" ht="15" customHeight="1" x14ac:dyDescent="0.25">
      <c r="A1583" s="49">
        <v>2013</v>
      </c>
      <c r="B1583" s="330" t="s">
        <v>45</v>
      </c>
      <c r="C1583" s="331">
        <v>95712913621</v>
      </c>
      <c r="D1583" s="331">
        <v>22644936806</v>
      </c>
      <c r="E1583" s="331">
        <v>555366115</v>
      </c>
      <c r="F1583" s="331">
        <v>447643</v>
      </c>
      <c r="G1583" s="370">
        <f t="shared" si="72"/>
        <v>4.676934209448038E-6</v>
      </c>
      <c r="H1583" s="370">
        <f t="shared" si="73"/>
        <v>1.9767906787948842E-5</v>
      </c>
      <c r="I1583" s="331">
        <v>770978</v>
      </c>
      <c r="J1583" s="331">
        <v>0</v>
      </c>
      <c r="K1583" s="331">
        <f t="shared" si="74"/>
        <v>770978</v>
      </c>
      <c r="L1583" s="199">
        <v>2.4500000000000002</v>
      </c>
      <c r="M1583" s="199">
        <v>1.02</v>
      </c>
    </row>
    <row r="1584" spans="1:13" ht="15" customHeight="1" x14ac:dyDescent="0.25">
      <c r="A1584" s="49">
        <v>2014</v>
      </c>
      <c r="B1584" s="330" t="s">
        <v>45</v>
      </c>
      <c r="C1584" s="331">
        <v>100633535999</v>
      </c>
      <c r="D1584" s="331">
        <v>23574250017</v>
      </c>
      <c r="E1584" s="331">
        <v>338391038</v>
      </c>
      <c r="F1584" s="331">
        <v>339920</v>
      </c>
      <c r="G1584" s="370">
        <f t="shared" si="72"/>
        <v>3.3778004183752205E-6</v>
      </c>
      <c r="H1584" s="370">
        <f t="shared" si="73"/>
        <v>1.4419122549174414E-5</v>
      </c>
      <c r="I1584" s="331">
        <v>833520</v>
      </c>
      <c r="J1584" s="331">
        <v>0</v>
      </c>
      <c r="K1584" s="331">
        <f t="shared" si="74"/>
        <v>833520</v>
      </c>
      <c r="L1584" s="333">
        <v>1.4354265257896963</v>
      </c>
      <c r="M1584" s="199">
        <v>1.02</v>
      </c>
    </row>
    <row r="1585" spans="1:13" ht="15" customHeight="1" x14ac:dyDescent="0.25">
      <c r="A1585" s="49">
        <v>2015</v>
      </c>
      <c r="B1585" s="330" t="s">
        <v>45</v>
      </c>
      <c r="C1585" s="334">
        <v>107376119000</v>
      </c>
      <c r="D1585" s="334">
        <v>24709860000</v>
      </c>
      <c r="E1585" s="334">
        <v>338798000</v>
      </c>
      <c r="F1585" s="331">
        <v>284130</v>
      </c>
      <c r="G1585" s="370">
        <f t="shared" si="72"/>
        <v>2.6461191058693414E-6</v>
      </c>
      <c r="H1585" s="370">
        <f t="shared" si="73"/>
        <v>1.1498648717556473E-5</v>
      </c>
      <c r="I1585" s="331">
        <v>915945</v>
      </c>
      <c r="J1585" s="199">
        <v>0</v>
      </c>
      <c r="K1585" s="331">
        <f t="shared" si="74"/>
        <v>915945</v>
      </c>
      <c r="L1585" s="199">
        <v>1.3</v>
      </c>
      <c r="M1585" s="199">
        <v>1.02</v>
      </c>
    </row>
    <row r="1586" spans="1:13" ht="15" customHeight="1" x14ac:dyDescent="0.25">
      <c r="A1586" s="49">
        <v>1980</v>
      </c>
      <c r="B1586" s="330" t="s">
        <v>46</v>
      </c>
      <c r="C1586" s="331">
        <v>71312662929</v>
      </c>
      <c r="D1586" s="331">
        <v>31502569727</v>
      </c>
      <c r="E1586" s="331">
        <v>95063902</v>
      </c>
      <c r="F1586" s="331">
        <v>251575</v>
      </c>
      <c r="G1586" s="370">
        <f t="shared" si="72"/>
        <v>3.5277745868285971E-6</v>
      </c>
      <c r="H1586" s="370">
        <f t="shared" si="73"/>
        <v>7.9858564612391559E-6</v>
      </c>
      <c r="I1586" s="331">
        <v>274701</v>
      </c>
      <c r="J1586" s="331">
        <v>0</v>
      </c>
      <c r="K1586" s="331">
        <f t="shared" si="74"/>
        <v>274701</v>
      </c>
      <c r="L1586" s="199">
        <v>0.3</v>
      </c>
      <c r="M1586" s="199">
        <v>0.73</v>
      </c>
    </row>
    <row r="1587" spans="1:13" ht="15" customHeight="1" x14ac:dyDescent="0.25">
      <c r="A1587" s="49">
        <v>1981</v>
      </c>
      <c r="B1587" s="330" t="s">
        <v>46</v>
      </c>
      <c r="C1587" s="331">
        <v>84688535633</v>
      </c>
      <c r="D1587" s="331">
        <v>34716407553</v>
      </c>
      <c r="E1587" s="331">
        <v>207564064</v>
      </c>
      <c r="F1587" s="331">
        <v>239954</v>
      </c>
      <c r="G1587" s="370">
        <f t="shared" si="72"/>
        <v>2.833370517112812E-6</v>
      </c>
      <c r="H1587" s="370">
        <f t="shared" si="73"/>
        <v>6.9118326725964624E-6</v>
      </c>
      <c r="I1587" s="331">
        <v>253841</v>
      </c>
      <c r="J1587" s="331">
        <v>0</v>
      </c>
      <c r="K1587" s="331">
        <f t="shared" si="74"/>
        <v>253841</v>
      </c>
      <c r="L1587" s="199">
        <v>0.6</v>
      </c>
      <c r="M1587" s="199">
        <v>0.67</v>
      </c>
    </row>
    <row r="1588" spans="1:13" ht="15" customHeight="1" x14ac:dyDescent="0.25">
      <c r="A1588" s="49">
        <v>1982</v>
      </c>
      <c r="B1588" s="330" t="s">
        <v>46</v>
      </c>
      <c r="C1588" s="331">
        <v>91738509724</v>
      </c>
      <c r="D1588" s="331">
        <v>35093797872</v>
      </c>
      <c r="E1588" s="331">
        <v>214305714</v>
      </c>
      <c r="F1588" s="331">
        <v>634462</v>
      </c>
      <c r="G1588" s="370">
        <f t="shared" si="72"/>
        <v>6.9159832867223523E-6</v>
      </c>
      <c r="H1588" s="370">
        <f t="shared" si="73"/>
        <v>1.807903499969187E-5</v>
      </c>
      <c r="I1588" s="331">
        <v>401</v>
      </c>
      <c r="J1588" s="331">
        <v>142863</v>
      </c>
      <c r="K1588" s="331">
        <f t="shared" si="74"/>
        <v>-142462</v>
      </c>
      <c r="L1588" s="199">
        <v>0.61</v>
      </c>
      <c r="M1588" s="199">
        <v>0.68</v>
      </c>
    </row>
    <row r="1589" spans="1:13" ht="15" customHeight="1" x14ac:dyDescent="0.25">
      <c r="A1589" s="49">
        <v>1983</v>
      </c>
      <c r="B1589" s="330" t="s">
        <v>46</v>
      </c>
      <c r="C1589" s="331">
        <v>92717768409</v>
      </c>
      <c r="D1589" s="331">
        <v>37690362740</v>
      </c>
      <c r="E1589" s="331">
        <v>400359653</v>
      </c>
      <c r="F1589" s="331">
        <v>934496</v>
      </c>
      <c r="G1589" s="370">
        <f t="shared" si="72"/>
        <v>1.0078931104960563E-5</v>
      </c>
      <c r="H1589" s="370">
        <f t="shared" si="73"/>
        <v>2.4794030411605424E-5</v>
      </c>
      <c r="I1589" s="331">
        <v>0</v>
      </c>
      <c r="J1589" s="331">
        <v>696274</v>
      </c>
      <c r="K1589" s="331">
        <f t="shared" si="74"/>
        <v>-696274</v>
      </c>
      <c r="L1589" s="199">
        <v>1.06</v>
      </c>
      <c r="M1589" s="199">
        <v>0.77</v>
      </c>
    </row>
    <row r="1590" spans="1:13" ht="15" customHeight="1" x14ac:dyDescent="0.25">
      <c r="A1590" s="49">
        <v>1984</v>
      </c>
      <c r="B1590" s="330" t="s">
        <v>46</v>
      </c>
      <c r="C1590" s="331">
        <v>101136472214</v>
      </c>
      <c r="D1590" s="331">
        <v>40166023683</v>
      </c>
      <c r="E1590" s="331">
        <v>864084505</v>
      </c>
      <c r="F1590" s="331">
        <v>564566</v>
      </c>
      <c r="G1590" s="370">
        <f t="shared" si="72"/>
        <v>5.5822196250369993E-6</v>
      </c>
      <c r="H1590" s="370">
        <f t="shared" si="73"/>
        <v>1.4055810066131809E-5</v>
      </c>
      <c r="I1590" s="331">
        <v>0</v>
      </c>
      <c r="J1590" s="331">
        <v>416289</v>
      </c>
      <c r="K1590" s="331">
        <f t="shared" si="74"/>
        <v>-416289</v>
      </c>
      <c r="L1590" s="199">
        <v>2.15</v>
      </c>
      <c r="M1590" s="199">
        <v>0.77</v>
      </c>
    </row>
    <row r="1591" spans="1:13" ht="15" customHeight="1" x14ac:dyDescent="0.25">
      <c r="A1591" s="49">
        <v>1985</v>
      </c>
      <c r="B1591" s="330" t="s">
        <v>46</v>
      </c>
      <c r="C1591" s="331">
        <v>107548400523</v>
      </c>
      <c r="D1591" s="331">
        <v>41410955204</v>
      </c>
      <c r="E1591" s="331">
        <v>842798867</v>
      </c>
      <c r="F1591" s="331">
        <v>644033</v>
      </c>
      <c r="G1591" s="370">
        <f t="shared" si="72"/>
        <v>5.9883084905783321E-6</v>
      </c>
      <c r="H1591" s="370">
        <f t="shared" si="73"/>
        <v>1.5552237248026363E-5</v>
      </c>
      <c r="I1591" s="331">
        <v>2995</v>
      </c>
      <c r="J1591" s="331">
        <v>0</v>
      </c>
      <c r="K1591" s="331">
        <f t="shared" si="74"/>
        <v>2995</v>
      </c>
      <c r="L1591" s="199">
        <v>2.04</v>
      </c>
      <c r="M1591" s="199">
        <v>0.77</v>
      </c>
    </row>
    <row r="1592" spans="1:13" ht="15" customHeight="1" x14ac:dyDescent="0.25">
      <c r="A1592" s="49">
        <v>1986</v>
      </c>
      <c r="B1592" s="330" t="s">
        <v>46</v>
      </c>
      <c r="C1592" s="331">
        <v>106152665075</v>
      </c>
      <c r="D1592" s="331">
        <v>39994100354</v>
      </c>
      <c r="E1592" s="331">
        <v>817318802</v>
      </c>
      <c r="F1592" s="331">
        <v>1204853</v>
      </c>
      <c r="G1592" s="370">
        <f t="shared" si="72"/>
        <v>1.1350190776168791E-5</v>
      </c>
      <c r="H1592" s="370">
        <f t="shared" si="73"/>
        <v>3.0125768284208873E-5</v>
      </c>
      <c r="I1592" s="331">
        <v>0</v>
      </c>
      <c r="J1592" s="331">
        <v>365640</v>
      </c>
      <c r="K1592" s="331">
        <f t="shared" si="74"/>
        <v>-365640</v>
      </c>
      <c r="L1592" s="199">
        <v>2.04</v>
      </c>
      <c r="M1592" s="199">
        <v>0.95</v>
      </c>
    </row>
    <row r="1593" spans="1:13" ht="15" customHeight="1" x14ac:dyDescent="0.25">
      <c r="A1593" s="49">
        <v>1987</v>
      </c>
      <c r="B1593" s="330" t="s">
        <v>46</v>
      </c>
      <c r="C1593" s="331">
        <v>107257939904</v>
      </c>
      <c r="D1593" s="331">
        <v>39366634314</v>
      </c>
      <c r="E1593" s="331">
        <v>951735106</v>
      </c>
      <c r="F1593" s="331">
        <v>1060277</v>
      </c>
      <c r="G1593" s="370">
        <f t="shared" si="72"/>
        <v>9.8853008080239918E-6</v>
      </c>
      <c r="H1593" s="370">
        <f t="shared" si="73"/>
        <v>2.693339216004383E-5</v>
      </c>
      <c r="I1593" s="331">
        <v>0</v>
      </c>
      <c r="J1593" s="331">
        <v>513727</v>
      </c>
      <c r="K1593" s="331">
        <f t="shared" si="74"/>
        <v>-513727</v>
      </c>
      <c r="L1593" s="199">
        <v>2.42</v>
      </c>
      <c r="M1593" s="199">
        <v>1.05</v>
      </c>
    </row>
    <row r="1594" spans="1:13" ht="15" customHeight="1" x14ac:dyDescent="0.25">
      <c r="A1594" s="49">
        <v>1988</v>
      </c>
      <c r="B1594" s="330" t="s">
        <v>46</v>
      </c>
      <c r="C1594" s="331">
        <v>113352024994</v>
      </c>
      <c r="D1594" s="331">
        <v>43771156498</v>
      </c>
      <c r="E1594" s="331">
        <v>1571514499</v>
      </c>
      <c r="F1594" s="331">
        <v>752722</v>
      </c>
      <c r="G1594" s="370">
        <f t="shared" si="72"/>
        <v>6.6405695005434922E-6</v>
      </c>
      <c r="H1594" s="370">
        <f t="shared" si="73"/>
        <v>1.7196758327242132E-5</v>
      </c>
      <c r="I1594" s="331">
        <v>272333</v>
      </c>
      <c r="J1594" s="331">
        <v>0</v>
      </c>
      <c r="K1594" s="331">
        <f t="shared" si="74"/>
        <v>272333</v>
      </c>
      <c r="L1594" s="199">
        <v>3.59</v>
      </c>
      <c r="M1594" s="199">
        <v>1.05</v>
      </c>
    </row>
    <row r="1595" spans="1:13" ht="15" customHeight="1" x14ac:dyDescent="0.25">
      <c r="A1595" s="49">
        <v>1989</v>
      </c>
      <c r="B1595" s="330" t="s">
        <v>46</v>
      </c>
      <c r="C1595" s="331">
        <v>118830041830</v>
      </c>
      <c r="D1595" s="331">
        <v>48330990965</v>
      </c>
      <c r="E1595" s="331">
        <v>1326491064</v>
      </c>
      <c r="F1595" s="331">
        <v>711343</v>
      </c>
      <c r="G1595" s="370">
        <f t="shared" si="72"/>
        <v>5.9862219102611924E-6</v>
      </c>
      <c r="H1595" s="370">
        <f t="shared" si="73"/>
        <v>1.4718154662194603E-5</v>
      </c>
      <c r="I1595" s="331">
        <v>988715</v>
      </c>
      <c r="J1595" s="331">
        <v>0</v>
      </c>
      <c r="K1595" s="331">
        <f t="shared" si="74"/>
        <v>988715</v>
      </c>
      <c r="L1595" s="199">
        <v>2.74</v>
      </c>
      <c r="M1595" s="199">
        <v>1.05</v>
      </c>
    </row>
    <row r="1596" spans="1:13" ht="15" customHeight="1" x14ac:dyDescent="0.25">
      <c r="A1596" s="49">
        <v>1990</v>
      </c>
      <c r="B1596" s="330" t="s">
        <v>46</v>
      </c>
      <c r="C1596" s="331">
        <v>128453538360</v>
      </c>
      <c r="D1596" s="331">
        <v>50799317509</v>
      </c>
      <c r="E1596" s="331">
        <v>881033546</v>
      </c>
      <c r="F1596" s="331">
        <v>735973</v>
      </c>
      <c r="G1596" s="370">
        <f t="shared" si="72"/>
        <v>5.7294879486883759E-6</v>
      </c>
      <c r="H1596" s="370">
        <f t="shared" si="73"/>
        <v>1.4487852122611871E-5</v>
      </c>
      <c r="I1596" s="331">
        <v>1286101</v>
      </c>
      <c r="J1596" s="331">
        <v>0</v>
      </c>
      <c r="K1596" s="331">
        <f t="shared" si="74"/>
        <v>1286101</v>
      </c>
      <c r="L1596" s="199">
        <v>1.73</v>
      </c>
      <c r="M1596" s="199">
        <v>1.05</v>
      </c>
    </row>
    <row r="1597" spans="1:13" ht="15" customHeight="1" x14ac:dyDescent="0.25">
      <c r="A1597" s="49">
        <v>1991</v>
      </c>
      <c r="B1597" s="330" t="s">
        <v>46</v>
      </c>
      <c r="C1597" s="331">
        <v>135846528671</v>
      </c>
      <c r="D1597" s="331">
        <v>52093697744</v>
      </c>
      <c r="E1597" s="331">
        <v>740714914</v>
      </c>
      <c r="F1597" s="331">
        <v>957076</v>
      </c>
      <c r="G1597" s="370">
        <f t="shared" si="72"/>
        <v>7.0452738790101516E-6</v>
      </c>
      <c r="H1597" s="370">
        <f t="shared" si="73"/>
        <v>1.8372203192472227E-5</v>
      </c>
      <c r="I1597" s="331">
        <v>942734</v>
      </c>
      <c r="J1597" s="331">
        <v>0</v>
      </c>
      <c r="K1597" s="331">
        <f t="shared" si="74"/>
        <v>942734</v>
      </c>
      <c r="L1597" s="199">
        <v>1.42</v>
      </c>
      <c r="M1597" s="199">
        <v>1.05</v>
      </c>
    </row>
    <row r="1598" spans="1:13" ht="15" customHeight="1" x14ac:dyDescent="0.25">
      <c r="A1598" s="49">
        <v>1992</v>
      </c>
      <c r="B1598" s="330" t="s">
        <v>46</v>
      </c>
      <c r="C1598" s="331">
        <v>144503575819</v>
      </c>
      <c r="D1598" s="331">
        <v>52817406963</v>
      </c>
      <c r="E1598" s="331">
        <v>767250469</v>
      </c>
      <c r="F1598" s="331">
        <v>1123422</v>
      </c>
      <c r="G1598" s="370">
        <f t="shared" si="72"/>
        <v>7.7743543274469425E-6</v>
      </c>
      <c r="H1598" s="370">
        <f t="shared" si="73"/>
        <v>2.1269919607885842E-5</v>
      </c>
      <c r="I1598" s="331">
        <v>586472</v>
      </c>
      <c r="J1598" s="331">
        <v>0</v>
      </c>
      <c r="K1598" s="331">
        <f t="shared" si="74"/>
        <v>586472</v>
      </c>
      <c r="L1598" s="199">
        <v>1.45</v>
      </c>
      <c r="M1598" s="199">
        <v>1.05</v>
      </c>
    </row>
    <row r="1599" spans="1:13" ht="15" customHeight="1" x14ac:dyDescent="0.25">
      <c r="A1599" s="49">
        <v>1993</v>
      </c>
      <c r="B1599" s="330" t="s">
        <v>46</v>
      </c>
      <c r="C1599" s="331">
        <v>150939510577</v>
      </c>
      <c r="D1599" s="331">
        <v>54489269104</v>
      </c>
      <c r="E1599" s="331">
        <v>859485035</v>
      </c>
      <c r="F1599" s="331">
        <v>1042625</v>
      </c>
      <c r="G1599" s="370">
        <f t="shared" si="72"/>
        <v>6.907568442578971E-6</v>
      </c>
      <c r="H1599" s="370">
        <f t="shared" si="73"/>
        <v>1.913450147422627E-5</v>
      </c>
      <c r="I1599" s="331">
        <v>445633</v>
      </c>
      <c r="J1599" s="331">
        <v>0</v>
      </c>
      <c r="K1599" s="331">
        <f t="shared" si="74"/>
        <v>445633</v>
      </c>
      <c r="L1599" s="199">
        <v>1.58</v>
      </c>
      <c r="M1599" s="199">
        <v>1.05</v>
      </c>
    </row>
    <row r="1600" spans="1:13" ht="15" customHeight="1" x14ac:dyDescent="0.25">
      <c r="A1600" s="49">
        <v>1994</v>
      </c>
      <c r="B1600" s="330" t="s">
        <v>46</v>
      </c>
      <c r="C1600" s="331">
        <v>160328449391</v>
      </c>
      <c r="D1600" s="331">
        <v>56937110198</v>
      </c>
      <c r="E1600" s="331">
        <v>987345367</v>
      </c>
      <c r="F1600" s="331">
        <v>974843</v>
      </c>
      <c r="G1600" s="370">
        <f t="shared" si="72"/>
        <v>6.0802870838138512E-6</v>
      </c>
      <c r="H1600" s="370">
        <f t="shared" si="73"/>
        <v>1.7121399323041912E-5</v>
      </c>
      <c r="I1600" s="331">
        <v>480322</v>
      </c>
      <c r="J1600" s="331">
        <v>0</v>
      </c>
      <c r="K1600" s="331">
        <f t="shared" si="74"/>
        <v>480322</v>
      </c>
      <c r="L1600" s="199">
        <v>1.73</v>
      </c>
      <c r="M1600" s="199">
        <v>1.05</v>
      </c>
    </row>
    <row r="1601" spans="1:13" ht="15" customHeight="1" x14ac:dyDescent="0.25">
      <c r="A1601" s="49">
        <v>1995</v>
      </c>
      <c r="B1601" s="330" t="s">
        <v>46</v>
      </c>
      <c r="C1601" s="331">
        <v>172366343103</v>
      </c>
      <c r="D1601" s="331">
        <v>60010581931</v>
      </c>
      <c r="E1601" s="331">
        <v>1033525952</v>
      </c>
      <c r="F1601" s="331">
        <v>930927</v>
      </c>
      <c r="G1601" s="370">
        <f t="shared" si="72"/>
        <v>5.4008629715124319E-6</v>
      </c>
      <c r="H1601" s="370">
        <f t="shared" si="73"/>
        <v>1.5512714092164232E-5</v>
      </c>
      <c r="I1601" s="331">
        <v>584866</v>
      </c>
      <c r="J1601" s="331">
        <v>0</v>
      </c>
      <c r="K1601" s="331">
        <f t="shared" si="74"/>
        <v>584866</v>
      </c>
      <c r="L1601" s="199">
        <v>1.72</v>
      </c>
      <c r="M1601" s="199">
        <v>1.05</v>
      </c>
    </row>
    <row r="1602" spans="1:13" ht="15" customHeight="1" x14ac:dyDescent="0.25">
      <c r="A1602" s="49">
        <v>1996</v>
      </c>
      <c r="B1602" s="330" t="s">
        <v>46</v>
      </c>
      <c r="C1602" s="331">
        <v>186595624448</v>
      </c>
      <c r="D1602" s="331">
        <v>62939417875</v>
      </c>
      <c r="E1602" s="331">
        <v>963646065</v>
      </c>
      <c r="F1602" s="331">
        <v>920387</v>
      </c>
      <c r="G1602" s="370">
        <f t="shared" ref="G1602:G1665" si="75">F1602/C1602</f>
        <v>4.9325218783814043E-6</v>
      </c>
      <c r="H1602" s="370">
        <f t="shared" ref="H1602:H1665" si="76">F1602/D1602</f>
        <v>1.462337960970536E-5</v>
      </c>
      <c r="I1602" s="331">
        <v>642233</v>
      </c>
      <c r="J1602" s="331">
        <v>0</v>
      </c>
      <c r="K1602" s="331">
        <f t="shared" ref="K1602:K1665" si="77">I1602-J1602</f>
        <v>642233</v>
      </c>
      <c r="L1602" s="199">
        <v>1.53</v>
      </c>
      <c r="M1602" s="199">
        <v>1.05</v>
      </c>
    </row>
    <row r="1603" spans="1:13" ht="15" customHeight="1" x14ac:dyDescent="0.25">
      <c r="A1603" s="49">
        <v>1997</v>
      </c>
      <c r="B1603" s="330" t="s">
        <v>46</v>
      </c>
      <c r="C1603" s="331">
        <v>207801852944</v>
      </c>
      <c r="D1603" s="331">
        <v>68095783639</v>
      </c>
      <c r="E1603" s="331">
        <v>986667630</v>
      </c>
      <c r="F1603" s="331">
        <v>893781</v>
      </c>
      <c r="G1603" s="370">
        <f t="shared" si="75"/>
        <v>4.3011214160870013E-6</v>
      </c>
      <c r="H1603" s="370">
        <f t="shared" si="76"/>
        <v>1.3125350091251632E-5</v>
      </c>
      <c r="I1603" s="331">
        <v>706577</v>
      </c>
      <c r="J1603" s="331">
        <v>0</v>
      </c>
      <c r="K1603" s="331">
        <f t="shared" si="77"/>
        <v>706577</v>
      </c>
      <c r="L1603" s="199">
        <v>1.45</v>
      </c>
      <c r="M1603" s="199">
        <v>1.05</v>
      </c>
    </row>
    <row r="1604" spans="1:13" ht="15" customHeight="1" x14ac:dyDescent="0.25">
      <c r="A1604" s="49">
        <v>1998</v>
      </c>
      <c r="B1604" s="330" t="s">
        <v>46</v>
      </c>
      <c r="C1604" s="331">
        <v>231072135169</v>
      </c>
      <c r="D1604" s="331">
        <v>71826570397</v>
      </c>
      <c r="E1604" s="331">
        <v>989750101</v>
      </c>
      <c r="F1604" s="331">
        <v>888602</v>
      </c>
      <c r="G1604" s="370">
        <f t="shared" si="75"/>
        <v>3.8455610381152198E-6</v>
      </c>
      <c r="H1604" s="370">
        <f t="shared" si="76"/>
        <v>1.2371494212914759E-5</v>
      </c>
      <c r="I1604" s="331">
        <v>805056</v>
      </c>
      <c r="J1604" s="331">
        <v>0</v>
      </c>
      <c r="K1604" s="331">
        <f t="shared" si="77"/>
        <v>805056</v>
      </c>
      <c r="L1604" s="199">
        <v>1.38</v>
      </c>
      <c r="M1604" s="199">
        <v>1.05</v>
      </c>
    </row>
    <row r="1605" spans="1:13" ht="15" customHeight="1" x14ac:dyDescent="0.25">
      <c r="A1605" s="49">
        <v>1999</v>
      </c>
      <c r="B1605" s="330" t="s">
        <v>46</v>
      </c>
      <c r="C1605" s="331">
        <v>246986886599</v>
      </c>
      <c r="D1605" s="331">
        <v>74248076249</v>
      </c>
      <c r="E1605" s="331">
        <v>902070995</v>
      </c>
      <c r="F1605" s="331">
        <v>1140351</v>
      </c>
      <c r="G1605" s="370">
        <f t="shared" si="75"/>
        <v>4.6170507904390788E-6</v>
      </c>
      <c r="H1605" s="370">
        <f t="shared" si="76"/>
        <v>1.5358660555402048E-5</v>
      </c>
      <c r="I1605" s="331">
        <v>652291</v>
      </c>
      <c r="J1605" s="331">
        <v>0</v>
      </c>
      <c r="K1605" s="331">
        <f t="shared" si="77"/>
        <v>652291</v>
      </c>
      <c r="L1605" s="199">
        <v>1.21</v>
      </c>
      <c r="M1605" s="199">
        <v>1.05</v>
      </c>
    </row>
    <row r="1606" spans="1:13" ht="15" customHeight="1" x14ac:dyDescent="0.25">
      <c r="A1606" s="49">
        <v>2000</v>
      </c>
      <c r="B1606" s="330" t="s">
        <v>46</v>
      </c>
      <c r="C1606" s="331">
        <v>271253849898</v>
      </c>
      <c r="D1606" s="331">
        <v>78146271091</v>
      </c>
      <c r="E1606" s="331">
        <v>996349894</v>
      </c>
      <c r="F1606" s="331">
        <v>940474</v>
      </c>
      <c r="G1606" s="370">
        <f t="shared" si="75"/>
        <v>3.4671360437967897E-6</v>
      </c>
      <c r="H1606" s="370">
        <f t="shared" si="76"/>
        <v>1.2034790488017453E-5</v>
      </c>
      <c r="I1606" s="331">
        <v>742276</v>
      </c>
      <c r="J1606" s="331">
        <v>0</v>
      </c>
      <c r="K1606" s="331">
        <f t="shared" si="77"/>
        <v>742276</v>
      </c>
      <c r="L1606" s="199">
        <v>1.28</v>
      </c>
      <c r="M1606" s="199">
        <v>1.05</v>
      </c>
    </row>
    <row r="1607" spans="1:13" ht="15" customHeight="1" x14ac:dyDescent="0.25">
      <c r="A1607" s="49">
        <v>2001</v>
      </c>
      <c r="B1607" s="330" t="s">
        <v>46</v>
      </c>
      <c r="C1607" s="331">
        <v>280927717168</v>
      </c>
      <c r="D1607" s="331">
        <v>78015834654</v>
      </c>
      <c r="E1607" s="331">
        <v>932017607</v>
      </c>
      <c r="F1607" s="331">
        <v>1492925</v>
      </c>
      <c r="G1607" s="370">
        <f t="shared" si="75"/>
        <v>5.3142673675990581E-6</v>
      </c>
      <c r="H1607" s="370">
        <f t="shared" si="76"/>
        <v>1.9136179297717164E-5</v>
      </c>
      <c r="I1607" s="331">
        <v>439831</v>
      </c>
      <c r="J1607" s="331">
        <v>0</v>
      </c>
      <c r="K1607" s="331">
        <f t="shared" si="77"/>
        <v>439831</v>
      </c>
      <c r="L1607" s="199">
        <v>1.19</v>
      </c>
      <c r="M1607" s="199">
        <v>1.05</v>
      </c>
    </row>
    <row r="1608" spans="1:13" ht="15" customHeight="1" x14ac:dyDescent="0.25">
      <c r="A1608" s="49">
        <v>2002</v>
      </c>
      <c r="B1608" s="330" t="s">
        <v>46</v>
      </c>
      <c r="C1608" s="331">
        <v>275380778868</v>
      </c>
      <c r="D1608" s="331">
        <v>75989022894</v>
      </c>
      <c r="E1608" s="331">
        <v>1018412656</v>
      </c>
      <c r="F1608" s="331">
        <v>2172491</v>
      </c>
      <c r="G1608" s="370">
        <f t="shared" si="75"/>
        <v>7.8890437049760601E-6</v>
      </c>
      <c r="H1608" s="370">
        <f t="shared" si="76"/>
        <v>2.8589537241852561E-5</v>
      </c>
      <c r="I1608" s="331">
        <v>153</v>
      </c>
      <c r="J1608" s="331">
        <v>112595</v>
      </c>
      <c r="K1608" s="331">
        <f t="shared" si="77"/>
        <v>-112442</v>
      </c>
      <c r="L1608" s="199">
        <v>1.34</v>
      </c>
      <c r="M1608" s="199">
        <v>1.05</v>
      </c>
    </row>
    <row r="1609" spans="1:13" ht="15" customHeight="1" x14ac:dyDescent="0.25">
      <c r="A1609" s="49">
        <v>2003</v>
      </c>
      <c r="B1609" s="330" t="s">
        <v>46</v>
      </c>
      <c r="C1609" s="331">
        <v>277493029486</v>
      </c>
      <c r="D1609" s="331">
        <v>74657595566</v>
      </c>
      <c r="E1609" s="331">
        <v>1680164367</v>
      </c>
      <c r="F1609" s="331">
        <v>2108303</v>
      </c>
      <c r="G1609" s="370">
        <f t="shared" si="75"/>
        <v>7.5976791341577379E-6</v>
      </c>
      <c r="H1609" s="370">
        <f t="shared" si="76"/>
        <v>2.8239631667968523E-5</v>
      </c>
      <c r="I1609" s="331">
        <v>771831</v>
      </c>
      <c r="J1609" s="331">
        <v>0</v>
      </c>
      <c r="K1609" s="331">
        <f t="shared" si="77"/>
        <v>771831</v>
      </c>
      <c r="L1609" s="199">
        <v>2.25</v>
      </c>
      <c r="M1609" s="199">
        <v>1.05</v>
      </c>
    </row>
    <row r="1610" spans="1:13" ht="15" customHeight="1" x14ac:dyDescent="0.25">
      <c r="A1610" s="49">
        <v>2004</v>
      </c>
      <c r="B1610" s="330" t="s">
        <v>46</v>
      </c>
      <c r="C1610" s="331">
        <v>293760718603</v>
      </c>
      <c r="D1610" s="331">
        <v>76374258958</v>
      </c>
      <c r="E1610" s="331">
        <v>1829871597</v>
      </c>
      <c r="F1610" s="331">
        <v>1574486</v>
      </c>
      <c r="G1610" s="370">
        <f t="shared" si="75"/>
        <v>5.3597567690043115E-6</v>
      </c>
      <c r="H1610" s="370">
        <f t="shared" si="76"/>
        <v>2.0615401333921247E-5</v>
      </c>
      <c r="I1610" s="331">
        <v>773900</v>
      </c>
      <c r="J1610" s="331">
        <v>0</v>
      </c>
      <c r="K1610" s="331">
        <f t="shared" si="77"/>
        <v>773900</v>
      </c>
      <c r="L1610" s="199">
        <v>2.4</v>
      </c>
      <c r="M1610" s="199">
        <v>1.05</v>
      </c>
    </row>
    <row r="1611" spans="1:13" x14ac:dyDescent="0.25">
      <c r="A1611" s="49">
        <v>2005</v>
      </c>
      <c r="B1611" s="330" t="s">
        <v>46</v>
      </c>
      <c r="C1611" s="331">
        <v>316791430786</v>
      </c>
      <c r="D1611" s="331">
        <v>79731522543</v>
      </c>
      <c r="E1611" s="331">
        <v>2014175039</v>
      </c>
      <c r="F1611" s="331">
        <v>1175247</v>
      </c>
      <c r="G1611" s="370">
        <f t="shared" si="75"/>
        <v>3.7098446668335127E-6</v>
      </c>
      <c r="H1611" s="370">
        <f t="shared" si="76"/>
        <v>1.4740054654872263E-5</v>
      </c>
      <c r="I1611" s="331">
        <v>1328386</v>
      </c>
      <c r="J1611" s="331">
        <v>0</v>
      </c>
      <c r="K1611" s="331">
        <f t="shared" si="77"/>
        <v>1328386</v>
      </c>
      <c r="L1611" s="199">
        <v>2.5299999999999998</v>
      </c>
      <c r="M1611" s="199">
        <v>1.05</v>
      </c>
    </row>
    <row r="1612" spans="1:13" ht="15" customHeight="1" x14ac:dyDescent="0.25">
      <c r="A1612" s="49">
        <v>2006</v>
      </c>
      <c r="B1612" s="330" t="s">
        <v>46</v>
      </c>
      <c r="C1612" s="331">
        <v>348785434251</v>
      </c>
      <c r="D1612" s="331">
        <v>84430446369</v>
      </c>
      <c r="E1612" s="331">
        <v>1914788848</v>
      </c>
      <c r="F1612" s="331">
        <v>1011729</v>
      </c>
      <c r="G1612" s="370">
        <f t="shared" si="75"/>
        <v>2.9007203301727306E-6</v>
      </c>
      <c r="H1612" s="370">
        <f t="shared" si="76"/>
        <v>1.1982987695910993E-5</v>
      </c>
      <c r="I1612" s="331">
        <v>1964805</v>
      </c>
      <c r="J1612" s="331">
        <v>0</v>
      </c>
      <c r="K1612" s="331">
        <f t="shared" si="77"/>
        <v>1964805</v>
      </c>
      <c r="L1612" s="199">
        <v>2.27</v>
      </c>
      <c r="M1612" s="199">
        <v>1.05</v>
      </c>
    </row>
    <row r="1613" spans="1:13" ht="15" customHeight="1" x14ac:dyDescent="0.25">
      <c r="A1613" s="49">
        <v>2007</v>
      </c>
      <c r="B1613" s="330" t="s">
        <v>46</v>
      </c>
      <c r="C1613" s="331">
        <v>379732606668</v>
      </c>
      <c r="D1613" s="331">
        <v>88521373552</v>
      </c>
      <c r="E1613" s="331">
        <v>1694272566</v>
      </c>
      <c r="F1613" s="331">
        <v>1056279</v>
      </c>
      <c r="G1613" s="370">
        <f t="shared" si="75"/>
        <v>2.7816389255282049E-6</v>
      </c>
      <c r="H1613" s="370">
        <f t="shared" si="76"/>
        <v>1.1932474131566784E-5</v>
      </c>
      <c r="I1613" s="331">
        <v>1774694</v>
      </c>
      <c r="J1613" s="331">
        <v>0</v>
      </c>
      <c r="K1613" s="331">
        <f t="shared" si="77"/>
        <v>1774694</v>
      </c>
      <c r="L1613" s="199">
        <v>1.91</v>
      </c>
      <c r="M1613" s="199">
        <v>1.05</v>
      </c>
    </row>
    <row r="1614" spans="1:13" ht="15" customHeight="1" x14ac:dyDescent="0.25">
      <c r="A1614" s="49">
        <v>2008</v>
      </c>
      <c r="B1614" s="330" t="s">
        <v>46</v>
      </c>
      <c r="C1614" s="331">
        <v>397628316667</v>
      </c>
      <c r="D1614" s="331">
        <v>90225138773</v>
      </c>
      <c r="E1614" s="331">
        <v>1071924176</v>
      </c>
      <c r="F1614" s="331">
        <v>1487454</v>
      </c>
      <c r="G1614" s="370">
        <f t="shared" si="75"/>
        <v>3.7408150718946192E-6</v>
      </c>
      <c r="H1614" s="370">
        <f t="shared" si="76"/>
        <v>1.6486026181043933E-5</v>
      </c>
      <c r="I1614" s="331">
        <v>1313253</v>
      </c>
      <c r="J1614" s="331">
        <v>0</v>
      </c>
      <c r="K1614" s="331">
        <f t="shared" si="77"/>
        <v>1313253</v>
      </c>
      <c r="L1614" s="199">
        <v>1.2</v>
      </c>
      <c r="M1614" s="199">
        <v>1.05</v>
      </c>
    </row>
    <row r="1615" spans="1:13" ht="15" customHeight="1" x14ac:dyDescent="0.25">
      <c r="A1615" s="49">
        <v>2009</v>
      </c>
      <c r="B1615" s="330" t="s">
        <v>46</v>
      </c>
      <c r="C1615" s="331">
        <v>376460489624</v>
      </c>
      <c r="D1615" s="331">
        <v>84237976068</v>
      </c>
      <c r="E1615" s="331">
        <v>1078679508</v>
      </c>
      <c r="F1615" s="331">
        <v>3719187</v>
      </c>
      <c r="G1615" s="370">
        <f t="shared" si="75"/>
        <v>9.8793554768911817E-6</v>
      </c>
      <c r="H1615" s="370">
        <f t="shared" si="76"/>
        <v>4.4150953923652379E-5</v>
      </c>
      <c r="I1615" s="331">
        <v>40130</v>
      </c>
      <c r="J1615" s="331">
        <v>1322512</v>
      </c>
      <c r="K1615" s="331">
        <f t="shared" si="77"/>
        <v>-1282382</v>
      </c>
      <c r="L1615" s="199">
        <v>1.3</v>
      </c>
      <c r="M1615" s="199">
        <v>0.85</v>
      </c>
    </row>
    <row r="1616" spans="1:13" ht="15" customHeight="1" x14ac:dyDescent="0.25">
      <c r="A1616" s="49">
        <v>2010</v>
      </c>
      <c r="B1616" s="330" t="s">
        <v>46</v>
      </c>
      <c r="C1616" s="331">
        <v>387417129528</v>
      </c>
      <c r="D1616" s="331">
        <v>85197912170</v>
      </c>
      <c r="E1616" s="331">
        <v>2371767390</v>
      </c>
      <c r="F1616" s="331">
        <v>2770197</v>
      </c>
      <c r="G1616" s="370">
        <f t="shared" si="75"/>
        <v>7.1504246685607327E-6</v>
      </c>
      <c r="H1616" s="370">
        <f t="shared" si="76"/>
        <v>3.2514846073604197E-5</v>
      </c>
      <c r="I1616" s="331">
        <v>292901</v>
      </c>
      <c r="J1616" s="331">
        <v>0</v>
      </c>
      <c r="K1616" s="331">
        <f t="shared" si="77"/>
        <v>292901</v>
      </c>
      <c r="L1616" s="199">
        <v>2.8</v>
      </c>
      <c r="M1616" s="199">
        <v>0.85</v>
      </c>
    </row>
    <row r="1617" spans="1:13" ht="15" customHeight="1" x14ac:dyDescent="0.25">
      <c r="A1617" s="49">
        <v>2011</v>
      </c>
      <c r="B1617" s="330" t="s">
        <v>46</v>
      </c>
      <c r="C1617" s="331">
        <v>416190863002</v>
      </c>
      <c r="D1617" s="331">
        <v>89118323105</v>
      </c>
      <c r="E1617" s="331">
        <v>2798462716</v>
      </c>
      <c r="F1617" s="331">
        <v>2219729</v>
      </c>
      <c r="G1617" s="370">
        <f t="shared" si="75"/>
        <v>5.333440008723433E-6</v>
      </c>
      <c r="H1617" s="370">
        <f t="shared" si="76"/>
        <v>2.4907661215580722E-5</v>
      </c>
      <c r="I1617" s="331">
        <v>475639</v>
      </c>
      <c r="J1617" s="331">
        <v>0</v>
      </c>
      <c r="K1617" s="331">
        <f t="shared" si="77"/>
        <v>475639</v>
      </c>
      <c r="L1617" s="199">
        <v>3.1</v>
      </c>
      <c r="M1617" s="199">
        <v>0.85</v>
      </c>
    </row>
    <row r="1618" spans="1:13" ht="15" customHeight="1" x14ac:dyDescent="0.25">
      <c r="A1618" s="49">
        <v>2012</v>
      </c>
      <c r="B1618" s="330" t="s">
        <v>46</v>
      </c>
      <c r="C1618" s="331">
        <v>449518142638</v>
      </c>
      <c r="D1618" s="331">
        <v>93450246398</v>
      </c>
      <c r="E1618" s="331">
        <v>2966381189</v>
      </c>
      <c r="F1618" s="331">
        <v>2093233</v>
      </c>
      <c r="G1618" s="370">
        <f t="shared" si="75"/>
        <v>4.656615165109575E-6</v>
      </c>
      <c r="H1618" s="370">
        <f t="shared" si="76"/>
        <v>2.2399437997038805E-5</v>
      </c>
      <c r="I1618" s="331">
        <v>1026547</v>
      </c>
      <c r="J1618" s="331">
        <v>0</v>
      </c>
      <c r="K1618" s="331">
        <f t="shared" si="77"/>
        <v>1026547</v>
      </c>
      <c r="L1618" s="199">
        <v>3.17</v>
      </c>
      <c r="M1618" s="199">
        <v>0.85</v>
      </c>
    </row>
    <row r="1619" spans="1:13" ht="15" customHeight="1" x14ac:dyDescent="0.25">
      <c r="A1619" s="49">
        <v>2013</v>
      </c>
      <c r="B1619" s="330" t="s">
        <v>46</v>
      </c>
      <c r="C1619" s="331">
        <v>469302706780</v>
      </c>
      <c r="D1619" s="331">
        <v>97099803334</v>
      </c>
      <c r="E1619" s="331">
        <v>2775853400</v>
      </c>
      <c r="F1619" s="331">
        <v>2166290</v>
      </c>
      <c r="G1619" s="370">
        <f t="shared" si="75"/>
        <v>4.6159759334512316E-6</v>
      </c>
      <c r="H1619" s="370">
        <f t="shared" si="76"/>
        <v>2.230993190118504E-5</v>
      </c>
      <c r="I1619" s="331">
        <v>1395933</v>
      </c>
      <c r="J1619" s="331">
        <v>0</v>
      </c>
      <c r="K1619" s="331">
        <f t="shared" si="77"/>
        <v>1395933</v>
      </c>
      <c r="L1619" s="199">
        <v>2.86</v>
      </c>
      <c r="M1619" s="199">
        <v>0.85</v>
      </c>
    </row>
    <row r="1620" spans="1:13" ht="15" customHeight="1" x14ac:dyDescent="0.25">
      <c r="A1620" s="49">
        <v>2014</v>
      </c>
      <c r="B1620" s="330" t="s">
        <v>46</v>
      </c>
      <c r="C1620" s="331">
        <v>505795379778</v>
      </c>
      <c r="D1620" s="331">
        <v>102390039388</v>
      </c>
      <c r="E1620" s="331">
        <v>2645907246</v>
      </c>
      <c r="F1620" s="331">
        <v>2025006</v>
      </c>
      <c r="G1620" s="370">
        <f t="shared" si="75"/>
        <v>4.0036071521428307E-6</v>
      </c>
      <c r="H1620" s="370">
        <f t="shared" si="76"/>
        <v>1.9777372995495971E-5</v>
      </c>
      <c r="I1620" s="331">
        <v>1687398</v>
      </c>
      <c r="J1620" s="331">
        <v>0</v>
      </c>
      <c r="K1620" s="331">
        <f t="shared" si="77"/>
        <v>1687398</v>
      </c>
      <c r="L1620" s="333">
        <v>2.5841451588601476</v>
      </c>
      <c r="M1620" s="199">
        <v>0.85</v>
      </c>
    </row>
    <row r="1621" spans="1:13" ht="15" customHeight="1" x14ac:dyDescent="0.25">
      <c r="A1621" s="49">
        <v>2015</v>
      </c>
      <c r="B1621" s="330" t="s">
        <v>46</v>
      </c>
      <c r="C1621" s="334">
        <v>527951799000</v>
      </c>
      <c r="D1621" s="334">
        <v>105527620000</v>
      </c>
      <c r="E1621" s="334">
        <v>2145753000</v>
      </c>
      <c r="F1621" s="331">
        <v>2565168</v>
      </c>
      <c r="G1621" s="370">
        <f t="shared" si="75"/>
        <v>4.8587162783775265E-6</v>
      </c>
      <c r="H1621" s="370">
        <f t="shared" si="76"/>
        <v>2.4308024761669032E-5</v>
      </c>
      <c r="I1621" s="331">
        <v>1304925</v>
      </c>
      <c r="J1621" s="199">
        <v>0</v>
      </c>
      <c r="K1621" s="331">
        <f t="shared" si="77"/>
        <v>1304925</v>
      </c>
      <c r="L1621" s="199">
        <v>2.4</v>
      </c>
      <c r="M1621" s="199">
        <v>0.85</v>
      </c>
    </row>
    <row r="1622" spans="1:13" ht="15" customHeight="1" x14ac:dyDescent="0.25">
      <c r="A1622" s="49">
        <v>1980</v>
      </c>
      <c r="B1622" s="330" t="s">
        <v>47</v>
      </c>
      <c r="C1622" s="331">
        <v>5246205346</v>
      </c>
      <c r="D1622" s="331">
        <v>3423511646</v>
      </c>
      <c r="E1622" s="331">
        <v>53536659</v>
      </c>
      <c r="F1622" s="331">
        <v>61728</v>
      </c>
      <c r="G1622" s="370">
        <f t="shared" si="75"/>
        <v>1.1766218805572465E-5</v>
      </c>
      <c r="H1622" s="370">
        <f t="shared" si="76"/>
        <v>1.8030609030386224E-5</v>
      </c>
      <c r="I1622" s="331">
        <v>63727</v>
      </c>
      <c r="J1622" s="331">
        <v>0</v>
      </c>
      <c r="K1622" s="331">
        <f t="shared" si="77"/>
        <v>63727</v>
      </c>
      <c r="L1622" s="199">
        <v>1.56</v>
      </c>
      <c r="M1622" s="199">
        <v>1.38</v>
      </c>
    </row>
    <row r="1623" spans="1:13" ht="15" customHeight="1" x14ac:dyDescent="0.25">
      <c r="A1623" s="49">
        <v>1981</v>
      </c>
      <c r="B1623" s="330" t="s">
        <v>47</v>
      </c>
      <c r="C1623" s="331">
        <v>5921068961</v>
      </c>
      <c r="D1623" s="331">
        <v>3793723122</v>
      </c>
      <c r="E1623" s="331">
        <v>67522802</v>
      </c>
      <c r="F1623" s="331">
        <v>70639</v>
      </c>
      <c r="G1623" s="370">
        <f t="shared" si="75"/>
        <v>1.1930109320677442E-5</v>
      </c>
      <c r="H1623" s="370">
        <f t="shared" si="76"/>
        <v>1.861996717429396E-5</v>
      </c>
      <c r="I1623" s="331">
        <v>63093</v>
      </c>
      <c r="J1623" s="331">
        <v>0</v>
      </c>
      <c r="K1623" s="331">
        <f t="shared" si="77"/>
        <v>63093</v>
      </c>
      <c r="L1623" s="199">
        <v>1.78</v>
      </c>
      <c r="M1623" s="199">
        <v>1.38</v>
      </c>
    </row>
    <row r="1624" spans="1:13" ht="15" customHeight="1" x14ac:dyDescent="0.25">
      <c r="A1624" s="49">
        <v>1982</v>
      </c>
      <c r="B1624" s="330" t="s">
        <v>47</v>
      </c>
      <c r="C1624" s="331">
        <v>6236320584</v>
      </c>
      <c r="D1624" s="331">
        <v>3874959677</v>
      </c>
      <c r="E1624" s="331">
        <v>68391757</v>
      </c>
      <c r="F1624" s="331">
        <v>121853</v>
      </c>
      <c r="G1624" s="370">
        <f t="shared" si="75"/>
        <v>1.9539245675186734E-5</v>
      </c>
      <c r="H1624" s="370">
        <f t="shared" si="76"/>
        <v>3.1446262711651956E-5</v>
      </c>
      <c r="I1624" s="331">
        <v>10108</v>
      </c>
      <c r="J1624" s="331">
        <v>0</v>
      </c>
      <c r="K1624" s="331">
        <f t="shared" si="77"/>
        <v>10108</v>
      </c>
      <c r="L1624" s="199">
        <v>1.76</v>
      </c>
      <c r="M1624" s="199">
        <v>1.65</v>
      </c>
    </row>
    <row r="1625" spans="1:13" ht="15" customHeight="1" x14ac:dyDescent="0.25">
      <c r="A1625" s="49">
        <v>1983</v>
      </c>
      <c r="B1625" s="330" t="s">
        <v>47</v>
      </c>
      <c r="C1625" s="331">
        <v>6506091500</v>
      </c>
      <c r="D1625" s="331">
        <v>3951929729</v>
      </c>
      <c r="E1625" s="331">
        <v>122511733</v>
      </c>
      <c r="F1625" s="331">
        <v>94577</v>
      </c>
      <c r="G1625" s="370">
        <f t="shared" si="75"/>
        <v>1.4536684582440933E-5</v>
      </c>
      <c r="H1625" s="370">
        <f t="shared" si="76"/>
        <v>2.3931852660733382E-5</v>
      </c>
      <c r="I1625" s="331">
        <v>18461</v>
      </c>
      <c r="J1625" s="331">
        <v>0</v>
      </c>
      <c r="K1625" s="331">
        <f t="shared" si="77"/>
        <v>18461</v>
      </c>
      <c r="L1625" s="199">
        <v>3.1</v>
      </c>
      <c r="M1625" s="199">
        <v>1.75</v>
      </c>
    </row>
    <row r="1626" spans="1:13" ht="15" customHeight="1" x14ac:dyDescent="0.25">
      <c r="A1626" s="49">
        <v>1984</v>
      </c>
      <c r="B1626" s="330" t="s">
        <v>47</v>
      </c>
      <c r="C1626" s="331">
        <v>7269020731</v>
      </c>
      <c r="D1626" s="331">
        <v>4554701809</v>
      </c>
      <c r="E1626" s="331">
        <v>143514680</v>
      </c>
      <c r="F1626" s="331">
        <v>61854</v>
      </c>
      <c r="G1626" s="370">
        <f t="shared" si="75"/>
        <v>8.5092617408852448E-6</v>
      </c>
      <c r="H1626" s="370">
        <f t="shared" si="76"/>
        <v>1.3580252362026803E-5</v>
      </c>
      <c r="I1626" s="331">
        <v>102186</v>
      </c>
      <c r="J1626" s="331">
        <v>0</v>
      </c>
      <c r="K1626" s="331">
        <f t="shared" si="77"/>
        <v>102186</v>
      </c>
      <c r="L1626" s="199">
        <v>3.15</v>
      </c>
      <c r="M1626" s="199">
        <v>1.75</v>
      </c>
    </row>
    <row r="1627" spans="1:13" ht="15" customHeight="1" x14ac:dyDescent="0.25">
      <c r="A1627" s="49">
        <v>1985</v>
      </c>
      <c r="B1627" s="330" t="s">
        <v>47</v>
      </c>
      <c r="C1627" s="331">
        <v>7658048474</v>
      </c>
      <c r="D1627" s="331">
        <v>4442776114</v>
      </c>
      <c r="E1627" s="331">
        <v>111911510</v>
      </c>
      <c r="F1627" s="331">
        <v>79621</v>
      </c>
      <c r="G1627" s="370">
        <f t="shared" si="75"/>
        <v>1.0397035259090212E-5</v>
      </c>
      <c r="H1627" s="370">
        <f t="shared" si="76"/>
        <v>1.792145225349071E-5</v>
      </c>
      <c r="I1627" s="331">
        <v>151685</v>
      </c>
      <c r="J1627" s="331">
        <v>0</v>
      </c>
      <c r="K1627" s="331">
        <f t="shared" si="77"/>
        <v>151685</v>
      </c>
      <c r="L1627" s="199">
        <v>2.52</v>
      </c>
      <c r="M1627" s="199">
        <v>1.75</v>
      </c>
    </row>
    <row r="1628" spans="1:13" ht="15" customHeight="1" x14ac:dyDescent="0.25">
      <c r="A1628" s="49">
        <v>1986</v>
      </c>
      <c r="B1628" s="330" t="s">
        <v>47</v>
      </c>
      <c r="C1628" s="331">
        <v>7823719283</v>
      </c>
      <c r="D1628" s="331">
        <v>4507061564</v>
      </c>
      <c r="E1628" s="331">
        <v>81343573</v>
      </c>
      <c r="F1628" s="331">
        <v>95142</v>
      </c>
      <c r="G1628" s="370">
        <f t="shared" si="75"/>
        <v>1.216071238735931E-5</v>
      </c>
      <c r="H1628" s="370">
        <f t="shared" si="76"/>
        <v>2.1109540805908547E-5</v>
      </c>
      <c r="I1628" s="331">
        <v>157224</v>
      </c>
      <c r="J1628" s="331">
        <v>0</v>
      </c>
      <c r="K1628" s="331">
        <f t="shared" si="77"/>
        <v>157224</v>
      </c>
      <c r="L1628" s="199">
        <v>1.8</v>
      </c>
      <c r="M1628" s="199">
        <v>1.75</v>
      </c>
    </row>
    <row r="1629" spans="1:13" ht="15" customHeight="1" x14ac:dyDescent="0.25">
      <c r="A1629" s="49">
        <v>1987</v>
      </c>
      <c r="B1629" s="330" t="s">
        <v>47</v>
      </c>
      <c r="C1629" s="331">
        <v>8113110306</v>
      </c>
      <c r="D1629" s="331">
        <v>4682240538</v>
      </c>
      <c r="E1629" s="331">
        <v>77534014</v>
      </c>
      <c r="F1629" s="331">
        <v>86607</v>
      </c>
      <c r="G1629" s="370">
        <f t="shared" si="75"/>
        <v>1.0674944224035797E-5</v>
      </c>
      <c r="H1629" s="370">
        <f t="shared" si="76"/>
        <v>1.849691388067684E-5</v>
      </c>
      <c r="I1629" s="331">
        <v>161252</v>
      </c>
      <c r="J1629" s="331">
        <v>0</v>
      </c>
      <c r="K1629" s="331">
        <f t="shared" si="77"/>
        <v>161252</v>
      </c>
      <c r="L1629" s="199">
        <v>1.66</v>
      </c>
      <c r="M1629" s="199">
        <v>1.75</v>
      </c>
    </row>
    <row r="1630" spans="1:13" ht="15" customHeight="1" x14ac:dyDescent="0.25">
      <c r="A1630" s="49">
        <v>1988</v>
      </c>
      <c r="B1630" s="330" t="s">
        <v>47</v>
      </c>
      <c r="C1630" s="331">
        <v>8759395721</v>
      </c>
      <c r="D1630" s="331">
        <v>4953465949</v>
      </c>
      <c r="E1630" s="331">
        <v>76337499</v>
      </c>
      <c r="F1630" s="331">
        <v>62909</v>
      </c>
      <c r="G1630" s="370">
        <f t="shared" si="75"/>
        <v>7.1818881123477899E-6</v>
      </c>
      <c r="H1630" s="370">
        <f t="shared" si="76"/>
        <v>1.2699996456561895E-5</v>
      </c>
      <c r="I1630" s="331">
        <v>189966</v>
      </c>
      <c r="J1630" s="331">
        <v>0</v>
      </c>
      <c r="K1630" s="331">
        <f t="shared" si="77"/>
        <v>189966</v>
      </c>
      <c r="L1630" s="199">
        <v>1.54</v>
      </c>
      <c r="M1630" s="199">
        <v>1.75</v>
      </c>
    </row>
    <row r="1631" spans="1:13" ht="15" customHeight="1" x14ac:dyDescent="0.25">
      <c r="A1631" s="49">
        <v>1989</v>
      </c>
      <c r="B1631" s="330" t="s">
        <v>47</v>
      </c>
      <c r="C1631" s="331">
        <v>9457237361</v>
      </c>
      <c r="D1631" s="331">
        <v>5327315169</v>
      </c>
      <c r="E1631" s="331">
        <v>85316883</v>
      </c>
      <c r="F1631" s="331">
        <v>53663</v>
      </c>
      <c r="G1631" s="370">
        <f t="shared" si="75"/>
        <v>5.6742786451883788E-6</v>
      </c>
      <c r="H1631" s="370">
        <f t="shared" si="76"/>
        <v>1.0073179133885029E-5</v>
      </c>
      <c r="I1631" s="331">
        <v>238503</v>
      </c>
      <c r="J1631" s="331">
        <v>0</v>
      </c>
      <c r="K1631" s="331">
        <f t="shared" si="77"/>
        <v>238503</v>
      </c>
      <c r="L1631" s="199">
        <v>1.6</v>
      </c>
      <c r="M1631" s="199">
        <v>1.75</v>
      </c>
    </row>
    <row r="1632" spans="1:13" ht="15" customHeight="1" x14ac:dyDescent="0.25">
      <c r="A1632" s="49">
        <v>1990</v>
      </c>
      <c r="B1632" s="330" t="s">
        <v>47</v>
      </c>
      <c r="C1632" s="331">
        <v>10316446639</v>
      </c>
      <c r="D1632" s="331">
        <v>5746639721</v>
      </c>
      <c r="E1632" s="331">
        <v>85852699</v>
      </c>
      <c r="F1632" s="331">
        <v>54114</v>
      </c>
      <c r="G1632" s="370">
        <f t="shared" si="75"/>
        <v>5.2454107401117145E-6</v>
      </c>
      <c r="H1632" s="370">
        <f t="shared" si="76"/>
        <v>9.416633480997721E-6</v>
      </c>
      <c r="I1632" s="331">
        <v>292408</v>
      </c>
      <c r="J1632" s="331">
        <v>0</v>
      </c>
      <c r="K1632" s="331">
        <f t="shared" si="77"/>
        <v>292408</v>
      </c>
      <c r="L1632" s="199">
        <v>1.49</v>
      </c>
      <c r="M1632" s="199">
        <v>1.75</v>
      </c>
    </row>
    <row r="1633" spans="1:13" ht="15" customHeight="1" x14ac:dyDescent="0.25">
      <c r="A1633" s="49">
        <v>1991</v>
      </c>
      <c r="B1633" s="330" t="s">
        <v>47</v>
      </c>
      <c r="C1633" s="331">
        <v>11064529484</v>
      </c>
      <c r="D1633" s="331">
        <v>6183690966</v>
      </c>
      <c r="E1633" s="331">
        <v>76863871</v>
      </c>
      <c r="F1633" s="331">
        <v>69326</v>
      </c>
      <c r="G1633" s="370">
        <f t="shared" si="75"/>
        <v>6.2656075977066823E-6</v>
      </c>
      <c r="H1633" s="370">
        <f t="shared" si="76"/>
        <v>1.1211103591880242E-5</v>
      </c>
      <c r="I1633" s="331">
        <v>327893</v>
      </c>
      <c r="J1633" s="331">
        <v>0</v>
      </c>
      <c r="K1633" s="331">
        <f t="shared" si="77"/>
        <v>327893</v>
      </c>
      <c r="L1633" s="199">
        <v>1.24</v>
      </c>
      <c r="M1633" s="199">
        <v>1.75</v>
      </c>
    </row>
    <row r="1634" spans="1:13" ht="15" customHeight="1" x14ac:dyDescent="0.25">
      <c r="A1634" s="49">
        <v>1992</v>
      </c>
      <c r="B1634" s="330" t="s">
        <v>47</v>
      </c>
      <c r="C1634" s="331">
        <v>12081453812</v>
      </c>
      <c r="D1634" s="331">
        <v>6668503499</v>
      </c>
      <c r="E1634" s="331">
        <v>67398754</v>
      </c>
      <c r="F1634" s="331">
        <v>78236</v>
      </c>
      <c r="G1634" s="370">
        <f t="shared" si="75"/>
        <v>6.4757107230167506E-6</v>
      </c>
      <c r="H1634" s="370">
        <f t="shared" si="76"/>
        <v>1.1732167496310404E-5</v>
      </c>
      <c r="I1634" s="331">
        <v>342146</v>
      </c>
      <c r="J1634" s="331">
        <v>0</v>
      </c>
      <c r="K1634" s="331">
        <f t="shared" si="77"/>
        <v>342146</v>
      </c>
      <c r="L1634" s="199">
        <v>1.01</v>
      </c>
      <c r="M1634" s="199">
        <v>1.75</v>
      </c>
    </row>
    <row r="1635" spans="1:13" ht="15" customHeight="1" x14ac:dyDescent="0.25">
      <c r="A1635" s="49">
        <v>1993</v>
      </c>
      <c r="B1635" s="330" t="s">
        <v>47</v>
      </c>
      <c r="C1635" s="331">
        <v>13007967032</v>
      </c>
      <c r="D1635" s="331">
        <v>7348771230</v>
      </c>
      <c r="E1635" s="331">
        <v>71162344</v>
      </c>
      <c r="F1635" s="331">
        <v>69970</v>
      </c>
      <c r="G1635" s="370">
        <f t="shared" si="75"/>
        <v>5.3790111727583291E-6</v>
      </c>
      <c r="H1635" s="370">
        <f t="shared" si="76"/>
        <v>9.5213196614912171E-6</v>
      </c>
      <c r="I1635" s="331">
        <v>366524</v>
      </c>
      <c r="J1635" s="331">
        <v>0</v>
      </c>
      <c r="K1635" s="331">
        <f t="shared" si="77"/>
        <v>366524</v>
      </c>
      <c r="L1635" s="199">
        <v>0.97</v>
      </c>
      <c r="M1635" s="199">
        <v>1.75</v>
      </c>
    </row>
    <row r="1636" spans="1:13" ht="15" customHeight="1" x14ac:dyDescent="0.25">
      <c r="A1636" s="49">
        <v>1994</v>
      </c>
      <c r="B1636" s="330" t="s">
        <v>47</v>
      </c>
      <c r="C1636" s="331">
        <v>14372538152</v>
      </c>
      <c r="D1636" s="331">
        <v>8222737736</v>
      </c>
      <c r="E1636" s="331">
        <v>84246956</v>
      </c>
      <c r="F1636" s="331">
        <v>61871</v>
      </c>
      <c r="G1636" s="370">
        <f t="shared" si="75"/>
        <v>4.3048068020880768E-6</v>
      </c>
      <c r="H1636" s="370">
        <f t="shared" si="76"/>
        <v>7.5243795906468394E-6</v>
      </c>
      <c r="I1636" s="331">
        <v>411411</v>
      </c>
      <c r="J1636" s="331">
        <v>0</v>
      </c>
      <c r="K1636" s="331">
        <f t="shared" si="77"/>
        <v>411411</v>
      </c>
      <c r="L1636" s="199">
        <v>1.02</v>
      </c>
      <c r="M1636" s="199">
        <v>1.75</v>
      </c>
    </row>
    <row r="1637" spans="1:13" ht="15" customHeight="1" x14ac:dyDescent="0.25">
      <c r="A1637" s="49">
        <v>1995</v>
      </c>
      <c r="B1637" s="330" t="s">
        <v>47</v>
      </c>
      <c r="C1637" s="331">
        <v>15979274149</v>
      </c>
      <c r="D1637" s="331">
        <v>9103964652</v>
      </c>
      <c r="E1637" s="331">
        <v>87180594</v>
      </c>
      <c r="F1637" s="331">
        <v>58684</v>
      </c>
      <c r="G1637" s="370">
        <f t="shared" si="75"/>
        <v>3.6725072398656174E-6</v>
      </c>
      <c r="H1637" s="370">
        <f t="shared" si="76"/>
        <v>6.4459828484843726E-6</v>
      </c>
      <c r="I1637" s="331">
        <v>468030</v>
      </c>
      <c r="J1637" s="331">
        <v>0</v>
      </c>
      <c r="K1637" s="331">
        <f t="shared" si="77"/>
        <v>468030</v>
      </c>
      <c r="L1637" s="199">
        <v>0.96</v>
      </c>
      <c r="M1637" s="199">
        <v>1.61</v>
      </c>
    </row>
    <row r="1638" spans="1:13" ht="15" customHeight="1" x14ac:dyDescent="0.25">
      <c r="A1638" s="49">
        <v>1996</v>
      </c>
      <c r="B1638" s="330" t="s">
        <v>47</v>
      </c>
      <c r="C1638" s="331">
        <v>17634986090</v>
      </c>
      <c r="D1638" s="331">
        <v>10153386293</v>
      </c>
      <c r="E1638" s="331">
        <v>88257652</v>
      </c>
      <c r="F1638" s="331">
        <v>67734</v>
      </c>
      <c r="G1638" s="370">
        <f t="shared" si="75"/>
        <v>3.8408876340656075E-6</v>
      </c>
      <c r="H1638" s="370">
        <f t="shared" si="76"/>
        <v>6.6710748557550226E-6</v>
      </c>
      <c r="I1638" s="331">
        <v>523880</v>
      </c>
      <c r="J1638" s="331">
        <v>0</v>
      </c>
      <c r="K1638" s="331">
        <f t="shared" si="77"/>
        <v>523880</v>
      </c>
      <c r="L1638" s="199">
        <v>0.87</v>
      </c>
      <c r="M1638" s="199">
        <v>1.61</v>
      </c>
    </row>
    <row r="1639" spans="1:13" ht="15" customHeight="1" x14ac:dyDescent="0.25">
      <c r="A1639" s="49">
        <v>1997</v>
      </c>
      <c r="B1639" s="330" t="s">
        <v>47</v>
      </c>
      <c r="C1639" s="331">
        <v>19342352300</v>
      </c>
      <c r="D1639" s="331">
        <v>11066596657</v>
      </c>
      <c r="E1639" s="331">
        <v>82176403</v>
      </c>
      <c r="F1639" s="331">
        <v>71766</v>
      </c>
      <c r="G1639" s="370">
        <f t="shared" si="75"/>
        <v>3.7103036325111297E-6</v>
      </c>
      <c r="H1639" s="370">
        <f t="shared" si="76"/>
        <v>6.4849205428125508E-6</v>
      </c>
      <c r="I1639" s="331">
        <v>572849</v>
      </c>
      <c r="J1639" s="331">
        <v>0</v>
      </c>
      <c r="K1639" s="331">
        <f t="shared" si="77"/>
        <v>572849</v>
      </c>
      <c r="L1639" s="199">
        <v>0.74</v>
      </c>
      <c r="M1639" s="199">
        <v>1.61</v>
      </c>
    </row>
    <row r="1640" spans="1:13" ht="15" customHeight="1" x14ac:dyDescent="0.25">
      <c r="A1640" s="49">
        <v>1998</v>
      </c>
      <c r="B1640" s="330" t="s">
        <v>47</v>
      </c>
      <c r="C1640" s="331">
        <v>20899981446</v>
      </c>
      <c r="D1640" s="331">
        <v>11996488335</v>
      </c>
      <c r="E1640" s="331">
        <v>76094269</v>
      </c>
      <c r="F1640" s="331">
        <v>81063</v>
      </c>
      <c r="G1640" s="370">
        <f t="shared" si="75"/>
        <v>3.8786158834372779E-6</v>
      </c>
      <c r="H1640" s="370">
        <f t="shared" si="76"/>
        <v>6.7572274265875821E-6</v>
      </c>
      <c r="I1640" s="331">
        <v>605350</v>
      </c>
      <c r="J1640" s="331">
        <v>0</v>
      </c>
      <c r="K1640" s="331">
        <f t="shared" si="77"/>
        <v>605350</v>
      </c>
      <c r="L1640" s="199">
        <v>0.63</v>
      </c>
      <c r="M1640" s="199">
        <v>1.61</v>
      </c>
    </row>
    <row r="1641" spans="1:13" ht="15" customHeight="1" x14ac:dyDescent="0.25">
      <c r="A1641" s="49">
        <v>1999</v>
      </c>
      <c r="B1641" s="330" t="s">
        <v>47</v>
      </c>
      <c r="C1641" s="331">
        <v>22369348334</v>
      </c>
      <c r="D1641" s="331">
        <v>12866159676</v>
      </c>
      <c r="E1641" s="331">
        <v>76593589</v>
      </c>
      <c r="F1641" s="331">
        <v>93539</v>
      </c>
      <c r="G1641" s="370">
        <f t="shared" si="75"/>
        <v>4.1815701827051714E-6</v>
      </c>
      <c r="H1641" s="370">
        <f t="shared" si="76"/>
        <v>7.2701569353661736E-6</v>
      </c>
      <c r="I1641" s="331">
        <v>625732</v>
      </c>
      <c r="J1641" s="331">
        <v>0</v>
      </c>
      <c r="K1641" s="331">
        <f t="shared" si="77"/>
        <v>625732</v>
      </c>
      <c r="L1641" s="199">
        <v>0.6</v>
      </c>
      <c r="M1641" s="199">
        <v>1.61</v>
      </c>
    </row>
    <row r="1642" spans="1:13" ht="15" customHeight="1" x14ac:dyDescent="0.25">
      <c r="A1642" s="49">
        <v>2000</v>
      </c>
      <c r="B1642" s="330" t="s">
        <v>47</v>
      </c>
      <c r="C1642" s="331">
        <v>24040697610</v>
      </c>
      <c r="D1642" s="331">
        <v>13829748907</v>
      </c>
      <c r="E1642" s="331">
        <v>58010504</v>
      </c>
      <c r="F1642" s="331">
        <v>90868</v>
      </c>
      <c r="G1642" s="370">
        <f t="shared" si="75"/>
        <v>3.7797572048076688E-6</v>
      </c>
      <c r="H1642" s="370">
        <f t="shared" si="76"/>
        <v>6.5704735936316734E-6</v>
      </c>
      <c r="I1642" s="331">
        <v>625569</v>
      </c>
      <c r="J1642" s="331">
        <v>0</v>
      </c>
      <c r="K1642" s="331">
        <f t="shared" si="77"/>
        <v>625569</v>
      </c>
      <c r="L1642" s="199">
        <v>0.42</v>
      </c>
      <c r="M1642" s="199">
        <v>1.61</v>
      </c>
    </row>
    <row r="1643" spans="1:13" ht="15" customHeight="1" x14ac:dyDescent="0.25">
      <c r="A1643" s="49">
        <v>2001</v>
      </c>
      <c r="B1643" s="330" t="s">
        <v>47</v>
      </c>
      <c r="C1643" s="331">
        <v>24734028110</v>
      </c>
      <c r="D1643" s="331">
        <v>14488340817</v>
      </c>
      <c r="E1643" s="331">
        <v>66713091</v>
      </c>
      <c r="F1643" s="331">
        <v>172702</v>
      </c>
      <c r="G1643" s="370">
        <f t="shared" si="75"/>
        <v>6.9823645073879559E-6</v>
      </c>
      <c r="H1643" s="370">
        <f t="shared" si="76"/>
        <v>1.1920067465375942E-5</v>
      </c>
      <c r="I1643" s="331">
        <v>564842</v>
      </c>
      <c r="J1643" s="331">
        <v>0</v>
      </c>
      <c r="K1643" s="331">
        <f t="shared" si="77"/>
        <v>564842</v>
      </c>
      <c r="L1643" s="199">
        <v>0.46</v>
      </c>
      <c r="M1643" s="199">
        <v>1.61</v>
      </c>
    </row>
    <row r="1644" spans="1:13" ht="15" customHeight="1" x14ac:dyDescent="0.25">
      <c r="A1644" s="49">
        <v>2002</v>
      </c>
      <c r="B1644" s="330" t="s">
        <v>47</v>
      </c>
      <c r="C1644" s="331">
        <v>24512617130</v>
      </c>
      <c r="D1644" s="331">
        <v>14441741248</v>
      </c>
      <c r="E1644" s="331">
        <v>71413767</v>
      </c>
      <c r="F1644" s="331">
        <v>245346</v>
      </c>
      <c r="G1644" s="370">
        <f t="shared" si="75"/>
        <v>1.0008967981624899E-5</v>
      </c>
      <c r="H1644" s="370">
        <f t="shared" si="76"/>
        <v>1.6988671641930807E-5</v>
      </c>
      <c r="I1644" s="331">
        <v>482403</v>
      </c>
      <c r="J1644" s="331">
        <v>0</v>
      </c>
      <c r="K1644" s="331">
        <f t="shared" si="77"/>
        <v>482403</v>
      </c>
      <c r="L1644" s="199">
        <v>0.49</v>
      </c>
      <c r="M1644" s="199">
        <v>1.61</v>
      </c>
    </row>
    <row r="1645" spans="1:13" ht="15" customHeight="1" x14ac:dyDescent="0.25">
      <c r="A1645" s="49">
        <v>2003</v>
      </c>
      <c r="B1645" s="330" t="s">
        <v>47</v>
      </c>
      <c r="C1645" s="331">
        <v>24811766232</v>
      </c>
      <c r="D1645" s="331">
        <v>14566068389</v>
      </c>
      <c r="E1645" s="331">
        <v>91525354</v>
      </c>
      <c r="F1645" s="331">
        <v>206657</v>
      </c>
      <c r="G1645" s="370">
        <f t="shared" si="75"/>
        <v>8.3289919011679323E-6</v>
      </c>
      <c r="H1645" s="370">
        <f t="shared" si="76"/>
        <v>1.418756211223498E-5</v>
      </c>
      <c r="I1645" s="331">
        <v>368196</v>
      </c>
      <c r="J1645" s="331">
        <v>0</v>
      </c>
      <c r="K1645" s="331">
        <f t="shared" si="77"/>
        <v>368196</v>
      </c>
      <c r="L1645" s="199">
        <v>0.63</v>
      </c>
      <c r="M1645" s="199">
        <v>1.61</v>
      </c>
    </row>
    <row r="1646" spans="1:13" x14ac:dyDescent="0.25">
      <c r="A1646" s="49">
        <v>2004</v>
      </c>
      <c r="B1646" s="330" t="s">
        <v>47</v>
      </c>
      <c r="C1646" s="331">
        <v>26544877504</v>
      </c>
      <c r="D1646" s="331">
        <v>15328054329</v>
      </c>
      <c r="E1646" s="331">
        <v>163048845</v>
      </c>
      <c r="F1646" s="331">
        <v>149198</v>
      </c>
      <c r="G1646" s="370">
        <f t="shared" si="75"/>
        <v>5.620594782459163E-6</v>
      </c>
      <c r="H1646" s="370">
        <f t="shared" si="76"/>
        <v>9.7336554788773154E-6</v>
      </c>
      <c r="I1646" s="331">
        <v>395342</v>
      </c>
      <c r="J1646" s="331">
        <v>0</v>
      </c>
      <c r="K1646" s="331">
        <f t="shared" si="77"/>
        <v>395342</v>
      </c>
      <c r="L1646" s="199">
        <v>1.06</v>
      </c>
      <c r="M1646" s="199">
        <v>1.61</v>
      </c>
    </row>
    <row r="1647" spans="1:13" ht="15" customHeight="1" x14ac:dyDescent="0.25">
      <c r="A1647" s="49">
        <v>2005</v>
      </c>
      <c r="B1647" s="330" t="s">
        <v>47</v>
      </c>
      <c r="C1647" s="331">
        <v>28885779607</v>
      </c>
      <c r="D1647" s="331">
        <v>16540268123</v>
      </c>
      <c r="E1647" s="331">
        <v>227824974</v>
      </c>
      <c r="F1647" s="331">
        <v>110795</v>
      </c>
      <c r="G1647" s="370">
        <f t="shared" si="75"/>
        <v>3.8356243628318281E-6</v>
      </c>
      <c r="H1647" s="370">
        <f t="shared" si="76"/>
        <v>6.6985008450941908E-6</v>
      </c>
      <c r="I1647" s="331">
        <v>523971</v>
      </c>
      <c r="J1647" s="331">
        <v>0</v>
      </c>
      <c r="K1647" s="331">
        <f t="shared" si="77"/>
        <v>523971</v>
      </c>
      <c r="L1647" s="199">
        <v>1.38</v>
      </c>
      <c r="M1647" s="199">
        <v>1.61</v>
      </c>
    </row>
    <row r="1648" spans="1:13" ht="15" customHeight="1" x14ac:dyDescent="0.25">
      <c r="A1648" s="49">
        <v>2006</v>
      </c>
      <c r="B1648" s="330" t="s">
        <v>47</v>
      </c>
      <c r="C1648" s="331">
        <v>32327204160</v>
      </c>
      <c r="D1648" s="331">
        <v>18405726697</v>
      </c>
      <c r="E1648" s="331">
        <v>241877576</v>
      </c>
      <c r="F1648" s="331">
        <v>88027</v>
      </c>
      <c r="G1648" s="370">
        <f t="shared" si="75"/>
        <v>2.7230007137122001E-6</v>
      </c>
      <c r="H1648" s="370">
        <f t="shared" si="76"/>
        <v>4.7825875853273299E-6</v>
      </c>
      <c r="I1648" s="331">
        <v>706140</v>
      </c>
      <c r="J1648" s="331">
        <v>0</v>
      </c>
      <c r="K1648" s="331">
        <f t="shared" si="77"/>
        <v>706140</v>
      </c>
      <c r="L1648" s="199">
        <v>1.31</v>
      </c>
      <c r="M1648" s="199">
        <v>1.61</v>
      </c>
    </row>
    <row r="1649" spans="1:13" ht="15" customHeight="1" x14ac:dyDescent="0.25">
      <c r="A1649" s="49">
        <v>2007</v>
      </c>
      <c r="B1649" s="330" t="s">
        <v>47</v>
      </c>
      <c r="C1649" s="331">
        <v>35754041580</v>
      </c>
      <c r="D1649" s="331">
        <v>20382404914</v>
      </c>
      <c r="E1649" s="331">
        <v>184325901</v>
      </c>
      <c r="F1649" s="331">
        <v>94687</v>
      </c>
      <c r="G1649" s="370">
        <f t="shared" si="75"/>
        <v>2.6482880204783829E-6</v>
      </c>
      <c r="H1649" s="370">
        <f t="shared" si="76"/>
        <v>4.645526393941994E-6</v>
      </c>
      <c r="I1649" s="331">
        <v>842680</v>
      </c>
      <c r="J1649" s="331">
        <v>0</v>
      </c>
      <c r="K1649" s="331">
        <f t="shared" si="77"/>
        <v>842680</v>
      </c>
      <c r="L1649" s="199">
        <v>0.9</v>
      </c>
      <c r="M1649" s="199">
        <v>1.61</v>
      </c>
    </row>
    <row r="1650" spans="1:13" ht="15" customHeight="1" x14ac:dyDescent="0.25">
      <c r="A1650" s="49">
        <v>2008</v>
      </c>
      <c r="B1650" s="330" t="s">
        <v>47</v>
      </c>
      <c r="C1650" s="331">
        <v>36366501185</v>
      </c>
      <c r="D1650" s="331">
        <v>21013841622</v>
      </c>
      <c r="E1650" s="331">
        <v>120656941</v>
      </c>
      <c r="F1650" s="331">
        <v>188009</v>
      </c>
      <c r="G1650" s="370">
        <f t="shared" si="75"/>
        <v>5.1698402066115616E-6</v>
      </c>
      <c r="H1650" s="370">
        <f t="shared" si="76"/>
        <v>8.9469123914576354E-6</v>
      </c>
      <c r="I1650" s="331">
        <v>822707</v>
      </c>
      <c r="J1650" s="331">
        <v>0</v>
      </c>
      <c r="K1650" s="331">
        <f t="shared" si="77"/>
        <v>822707</v>
      </c>
      <c r="L1650" s="199">
        <v>0.6</v>
      </c>
      <c r="M1650" s="199">
        <v>1.61</v>
      </c>
    </row>
    <row r="1651" spans="1:13" ht="15" customHeight="1" x14ac:dyDescent="0.25">
      <c r="A1651" s="49">
        <v>2009</v>
      </c>
      <c r="B1651" s="330" t="s">
        <v>47</v>
      </c>
      <c r="C1651" s="331">
        <v>34211173255</v>
      </c>
      <c r="D1651" s="331">
        <v>19903329943</v>
      </c>
      <c r="E1651" s="331">
        <v>112690336</v>
      </c>
      <c r="F1651" s="331">
        <v>474639</v>
      </c>
      <c r="G1651" s="370">
        <f t="shared" si="75"/>
        <v>1.3873800715987751E-5</v>
      </c>
      <c r="H1651" s="370">
        <f t="shared" si="76"/>
        <v>2.3847215584492207E-5</v>
      </c>
      <c r="I1651" s="331">
        <v>492923</v>
      </c>
      <c r="J1651" s="331">
        <v>0</v>
      </c>
      <c r="K1651" s="331">
        <f t="shared" si="77"/>
        <v>492923</v>
      </c>
      <c r="L1651" s="199">
        <v>0.6</v>
      </c>
      <c r="M1651" s="199">
        <v>1.07</v>
      </c>
    </row>
    <row r="1652" spans="1:13" ht="15" customHeight="1" x14ac:dyDescent="0.25">
      <c r="A1652" s="49">
        <v>2010</v>
      </c>
      <c r="B1652" s="330" t="s">
        <v>47</v>
      </c>
      <c r="C1652" s="331">
        <v>34737654254</v>
      </c>
      <c r="D1652" s="331">
        <v>20068462482</v>
      </c>
      <c r="E1652" s="331">
        <v>147766292</v>
      </c>
      <c r="F1652" s="331">
        <v>354342</v>
      </c>
      <c r="G1652" s="370">
        <f t="shared" si="75"/>
        <v>1.0200516056987295E-5</v>
      </c>
      <c r="H1652" s="370">
        <f t="shared" si="76"/>
        <v>1.7656659064829697E-5</v>
      </c>
      <c r="I1652" s="331">
        <v>312720</v>
      </c>
      <c r="J1652" s="331">
        <v>0</v>
      </c>
      <c r="K1652" s="331">
        <f t="shared" si="77"/>
        <v>312720</v>
      </c>
      <c r="L1652" s="199">
        <v>0.7</v>
      </c>
      <c r="M1652" s="199">
        <v>1.1399999999999999</v>
      </c>
    </row>
    <row r="1653" spans="1:13" ht="15" customHeight="1" x14ac:dyDescent="0.25">
      <c r="A1653" s="49">
        <v>2011</v>
      </c>
      <c r="B1653" s="330" t="s">
        <v>47</v>
      </c>
      <c r="C1653" s="331">
        <v>36528689453</v>
      </c>
      <c r="D1653" s="331">
        <v>20875131854</v>
      </c>
      <c r="E1653" s="331">
        <v>321384994</v>
      </c>
      <c r="F1653" s="331">
        <v>257339</v>
      </c>
      <c r="G1653" s="370">
        <f t="shared" si="75"/>
        <v>7.0448462250776273E-6</v>
      </c>
      <c r="H1653" s="370">
        <f t="shared" si="76"/>
        <v>1.232753890130231E-5</v>
      </c>
      <c r="I1653" s="331">
        <v>365460</v>
      </c>
      <c r="J1653" s="331">
        <v>0</v>
      </c>
      <c r="K1653" s="331">
        <f t="shared" si="77"/>
        <v>365460</v>
      </c>
      <c r="L1653" s="199">
        <v>1.5</v>
      </c>
      <c r="M1653" s="199">
        <v>1.1399999999999999</v>
      </c>
    </row>
    <row r="1654" spans="1:13" ht="15" customHeight="1" x14ac:dyDescent="0.25">
      <c r="A1654" s="49">
        <v>2012</v>
      </c>
      <c r="B1654" s="330" t="s">
        <v>47</v>
      </c>
      <c r="C1654" s="331">
        <v>39165843307</v>
      </c>
      <c r="D1654" s="331">
        <v>22251396619</v>
      </c>
      <c r="E1654" s="331">
        <v>346307716</v>
      </c>
      <c r="F1654" s="331">
        <v>207499</v>
      </c>
      <c r="G1654" s="370">
        <f t="shared" si="75"/>
        <v>5.2979581819170044E-6</v>
      </c>
      <c r="H1654" s="370">
        <f t="shared" si="76"/>
        <v>9.3252124148836998E-6</v>
      </c>
      <c r="I1654" s="331">
        <v>503035</v>
      </c>
      <c r="J1654" s="331">
        <v>0</v>
      </c>
      <c r="K1654" s="331">
        <f t="shared" si="77"/>
        <v>503035</v>
      </c>
      <c r="L1654" s="199">
        <v>1.56</v>
      </c>
      <c r="M1654" s="199">
        <v>1.1399999999999999</v>
      </c>
    </row>
    <row r="1655" spans="1:13" ht="15" customHeight="1" x14ac:dyDescent="0.25">
      <c r="A1655" s="49">
        <v>2013</v>
      </c>
      <c r="B1655" s="330" t="s">
        <v>47</v>
      </c>
      <c r="C1655" s="331">
        <v>41074034534</v>
      </c>
      <c r="D1655" s="331">
        <v>23641336323</v>
      </c>
      <c r="E1655" s="331">
        <v>357230430</v>
      </c>
      <c r="F1655" s="331">
        <v>196153</v>
      </c>
      <c r="G1655" s="370">
        <f t="shared" si="75"/>
        <v>4.7755961211365716E-6</v>
      </c>
      <c r="H1655" s="370">
        <f t="shared" si="76"/>
        <v>8.2970352149327616E-6</v>
      </c>
      <c r="I1655" s="331">
        <v>659509</v>
      </c>
      <c r="J1655" s="331">
        <v>0</v>
      </c>
      <c r="K1655" s="331">
        <f t="shared" si="77"/>
        <v>659509</v>
      </c>
      <c r="L1655" s="199">
        <v>1.51</v>
      </c>
      <c r="M1655" s="199">
        <v>1.1399999999999999</v>
      </c>
    </row>
    <row r="1656" spans="1:13" ht="15" customHeight="1" x14ac:dyDescent="0.25">
      <c r="A1656" s="49">
        <v>2014</v>
      </c>
      <c r="B1656" s="330" t="s">
        <v>47</v>
      </c>
      <c r="C1656" s="331">
        <v>43720337673</v>
      </c>
      <c r="D1656" s="331">
        <v>25044650671</v>
      </c>
      <c r="E1656" s="331">
        <v>313489964</v>
      </c>
      <c r="F1656" s="331">
        <v>166022</v>
      </c>
      <c r="G1656" s="370">
        <f t="shared" si="75"/>
        <v>3.7973631686410511E-6</v>
      </c>
      <c r="H1656" s="370">
        <f t="shared" si="76"/>
        <v>6.6290403560007393E-6</v>
      </c>
      <c r="I1656" s="331">
        <v>820601</v>
      </c>
      <c r="J1656" s="331">
        <v>0</v>
      </c>
      <c r="K1656" s="331">
        <f t="shared" si="77"/>
        <v>820601</v>
      </c>
      <c r="L1656" s="333">
        <v>1.2517242429058915</v>
      </c>
      <c r="M1656" s="199">
        <v>1.1399999999999999</v>
      </c>
    </row>
    <row r="1657" spans="1:13" ht="15" customHeight="1" x14ac:dyDescent="0.25">
      <c r="A1657" s="49">
        <v>2015</v>
      </c>
      <c r="B1657" s="330" t="s">
        <v>47</v>
      </c>
      <c r="C1657" s="334">
        <v>47118572000</v>
      </c>
      <c r="D1657" s="334">
        <v>26787371000</v>
      </c>
      <c r="E1657" s="334">
        <v>259530000</v>
      </c>
      <c r="F1657" s="331">
        <v>152608</v>
      </c>
      <c r="G1657" s="370">
        <f t="shared" si="75"/>
        <v>3.2388078314427695E-6</v>
      </c>
      <c r="H1657" s="370">
        <f t="shared" si="76"/>
        <v>5.6970129692831747E-6</v>
      </c>
      <c r="I1657" s="331">
        <v>946273</v>
      </c>
      <c r="J1657" s="199">
        <v>0</v>
      </c>
      <c r="K1657" s="331">
        <f t="shared" si="77"/>
        <v>946273</v>
      </c>
      <c r="L1657" s="199">
        <v>0.9</v>
      </c>
      <c r="M1657" s="199">
        <v>1.1399999999999999</v>
      </c>
    </row>
    <row r="1658" spans="1:13" ht="15" customHeight="1" x14ac:dyDescent="0.25">
      <c r="A1658" s="49">
        <v>1980</v>
      </c>
      <c r="B1658" s="330" t="s">
        <v>48</v>
      </c>
      <c r="C1658" s="331">
        <v>20470715687</v>
      </c>
      <c r="D1658" s="331">
        <v>9835564978</v>
      </c>
      <c r="E1658" s="331">
        <v>124133738</v>
      </c>
      <c r="F1658" s="331">
        <v>154236</v>
      </c>
      <c r="G1658" s="370">
        <f t="shared" si="75"/>
        <v>7.534470331095855E-6</v>
      </c>
      <c r="H1658" s="370">
        <f t="shared" si="76"/>
        <v>1.568145809061219E-5</v>
      </c>
      <c r="I1658" s="331">
        <v>69611</v>
      </c>
      <c r="J1658" s="331">
        <v>0</v>
      </c>
      <c r="K1658" s="331">
        <f t="shared" si="77"/>
        <v>69611</v>
      </c>
      <c r="L1658" s="199">
        <v>1.26</v>
      </c>
      <c r="M1658" s="199">
        <v>0.95</v>
      </c>
    </row>
    <row r="1659" spans="1:13" ht="15" customHeight="1" x14ac:dyDescent="0.25">
      <c r="A1659" s="49">
        <v>1981</v>
      </c>
      <c r="B1659" s="330" t="s">
        <v>48</v>
      </c>
      <c r="C1659" s="331">
        <v>22469672270</v>
      </c>
      <c r="D1659" s="331">
        <v>9838357713</v>
      </c>
      <c r="E1659" s="331">
        <v>167785209</v>
      </c>
      <c r="F1659" s="331">
        <v>162643</v>
      </c>
      <c r="G1659" s="370">
        <f t="shared" si="75"/>
        <v>7.2383343221765644E-6</v>
      </c>
      <c r="H1659" s="370">
        <f t="shared" si="76"/>
        <v>1.6531519258045502E-5</v>
      </c>
      <c r="I1659" s="331">
        <v>74533</v>
      </c>
      <c r="J1659" s="331">
        <v>0</v>
      </c>
      <c r="K1659" s="331">
        <f t="shared" si="77"/>
        <v>74533</v>
      </c>
      <c r="L1659" s="199">
        <v>1.71</v>
      </c>
      <c r="M1659" s="199">
        <v>0.95</v>
      </c>
    </row>
    <row r="1660" spans="1:13" ht="15" customHeight="1" x14ac:dyDescent="0.25">
      <c r="A1660" s="49">
        <v>1982</v>
      </c>
      <c r="B1660" s="330" t="s">
        <v>48</v>
      </c>
      <c r="C1660" s="331">
        <v>23814831255</v>
      </c>
      <c r="D1660" s="331">
        <v>9783110206</v>
      </c>
      <c r="E1660" s="331">
        <v>177934257</v>
      </c>
      <c r="F1660" s="331">
        <v>239521</v>
      </c>
      <c r="G1660" s="370">
        <f t="shared" si="75"/>
        <v>1.0057640024206001E-5</v>
      </c>
      <c r="H1660" s="370">
        <f t="shared" si="76"/>
        <v>2.4483113749766543E-5</v>
      </c>
      <c r="I1660" s="331">
        <v>13585</v>
      </c>
      <c r="J1660" s="331">
        <v>0</v>
      </c>
      <c r="K1660" s="331">
        <f t="shared" si="77"/>
        <v>13585</v>
      </c>
      <c r="L1660" s="199">
        <v>1.82</v>
      </c>
      <c r="M1660" s="199">
        <v>1.03</v>
      </c>
    </row>
    <row r="1661" spans="1:13" ht="15" customHeight="1" x14ac:dyDescent="0.25">
      <c r="A1661" s="49">
        <v>1983</v>
      </c>
      <c r="B1661" s="330" t="s">
        <v>48</v>
      </c>
      <c r="C1661" s="331">
        <v>26060636083</v>
      </c>
      <c r="D1661" s="331">
        <v>11379020153</v>
      </c>
      <c r="E1661" s="331">
        <v>244103108</v>
      </c>
      <c r="F1661" s="331">
        <v>171354</v>
      </c>
      <c r="G1661" s="370">
        <f t="shared" si="75"/>
        <v>6.5752040531266411E-6</v>
      </c>
      <c r="H1661" s="370">
        <f t="shared" si="76"/>
        <v>1.5058765842401967E-5</v>
      </c>
      <c r="I1661" s="331">
        <v>78385</v>
      </c>
      <c r="J1661" s="331">
        <v>0</v>
      </c>
      <c r="K1661" s="331">
        <f t="shared" si="77"/>
        <v>78385</v>
      </c>
      <c r="L1661" s="199">
        <v>2.15</v>
      </c>
      <c r="M1661" s="199">
        <v>1.03</v>
      </c>
    </row>
    <row r="1662" spans="1:13" ht="15" customHeight="1" x14ac:dyDescent="0.25">
      <c r="A1662" s="49">
        <v>1984</v>
      </c>
      <c r="B1662" s="330" t="s">
        <v>48</v>
      </c>
      <c r="C1662" s="331">
        <v>29417778906</v>
      </c>
      <c r="D1662" s="331">
        <v>12423863803</v>
      </c>
      <c r="E1662" s="331">
        <v>309665624</v>
      </c>
      <c r="F1662" s="331">
        <v>118424</v>
      </c>
      <c r="G1662" s="370">
        <f t="shared" si="75"/>
        <v>4.0255928354892365E-6</v>
      </c>
      <c r="H1662" s="370">
        <f t="shared" si="76"/>
        <v>9.531978286127385E-6</v>
      </c>
      <c r="I1662" s="331">
        <v>286056</v>
      </c>
      <c r="J1662" s="331">
        <v>0</v>
      </c>
      <c r="K1662" s="331">
        <f t="shared" si="77"/>
        <v>286056</v>
      </c>
      <c r="L1662" s="199">
        <v>2.4900000000000002</v>
      </c>
      <c r="M1662" s="199">
        <v>1.03</v>
      </c>
    </row>
    <row r="1663" spans="1:13" ht="15" customHeight="1" x14ac:dyDescent="0.25">
      <c r="A1663" s="49">
        <v>1985</v>
      </c>
      <c r="B1663" s="330" t="s">
        <v>48</v>
      </c>
      <c r="C1663" s="331">
        <v>32605739162</v>
      </c>
      <c r="D1663" s="331">
        <v>13346796828</v>
      </c>
      <c r="E1663" s="331">
        <v>245641034</v>
      </c>
      <c r="F1663" s="331">
        <v>141245</v>
      </c>
      <c r="G1663" s="370">
        <f t="shared" si="75"/>
        <v>4.331906088625417E-6</v>
      </c>
      <c r="H1663" s="370">
        <f t="shared" si="76"/>
        <v>1.0582689001729966E-5</v>
      </c>
      <c r="I1663" s="331">
        <v>431745</v>
      </c>
      <c r="J1663" s="331">
        <v>0</v>
      </c>
      <c r="K1663" s="331">
        <f t="shared" si="77"/>
        <v>431745</v>
      </c>
      <c r="L1663" s="199">
        <v>1.84</v>
      </c>
      <c r="M1663" s="199">
        <v>1.03</v>
      </c>
    </row>
    <row r="1664" spans="1:13" ht="15" customHeight="1" x14ac:dyDescent="0.25">
      <c r="A1664" s="49">
        <v>1986</v>
      </c>
      <c r="B1664" s="330" t="s">
        <v>48</v>
      </c>
      <c r="C1664" s="331">
        <v>36049920879</v>
      </c>
      <c r="D1664" s="331">
        <v>14145225500</v>
      </c>
      <c r="E1664" s="331">
        <v>183026691</v>
      </c>
      <c r="F1664" s="331">
        <v>138256</v>
      </c>
      <c r="G1664" s="370">
        <f t="shared" si="75"/>
        <v>3.835126308988313E-6</v>
      </c>
      <c r="H1664" s="370">
        <f t="shared" si="76"/>
        <v>9.7740400108856517E-6</v>
      </c>
      <c r="I1664" s="331">
        <v>531831</v>
      </c>
      <c r="J1664" s="331">
        <v>0</v>
      </c>
      <c r="K1664" s="331">
        <f t="shared" si="77"/>
        <v>531831</v>
      </c>
      <c r="L1664" s="199">
        <v>1.29</v>
      </c>
      <c r="M1664" s="199">
        <v>1.03</v>
      </c>
    </row>
    <row r="1665" spans="1:13" ht="15" customHeight="1" x14ac:dyDescent="0.25">
      <c r="A1665" s="49">
        <v>1987</v>
      </c>
      <c r="B1665" s="330" t="s">
        <v>48</v>
      </c>
      <c r="C1665" s="331">
        <v>40201619227</v>
      </c>
      <c r="D1665" s="331">
        <v>15191318757</v>
      </c>
      <c r="E1665" s="331">
        <v>158569517</v>
      </c>
      <c r="F1665" s="331">
        <v>131420</v>
      </c>
      <c r="G1665" s="370">
        <f t="shared" si="75"/>
        <v>3.2690225549854566E-6</v>
      </c>
      <c r="H1665" s="370">
        <f t="shared" si="76"/>
        <v>8.6509935116359165E-6</v>
      </c>
      <c r="I1665" s="331">
        <v>606938</v>
      </c>
      <c r="J1665" s="331">
        <v>0</v>
      </c>
      <c r="K1665" s="331">
        <f t="shared" si="77"/>
        <v>606938</v>
      </c>
      <c r="L1665" s="199">
        <v>1.04</v>
      </c>
      <c r="M1665" s="199">
        <v>1.03</v>
      </c>
    </row>
    <row r="1666" spans="1:13" ht="15" customHeight="1" x14ac:dyDescent="0.25">
      <c r="A1666" s="49">
        <v>1988</v>
      </c>
      <c r="B1666" s="330" t="s">
        <v>48</v>
      </c>
      <c r="C1666" s="331">
        <v>44013950219</v>
      </c>
      <c r="D1666" s="331">
        <v>15925723857</v>
      </c>
      <c r="E1666" s="331">
        <v>136755320</v>
      </c>
      <c r="F1666" s="331">
        <v>138939</v>
      </c>
      <c r="G1666" s="370">
        <f t="shared" ref="G1666:G1729" si="78">F1666/C1666</f>
        <v>3.156703711179794E-6</v>
      </c>
      <c r="H1666" s="370">
        <f t="shared" ref="H1666:H1729" si="79">F1666/D1666</f>
        <v>8.7241874371023143E-6</v>
      </c>
      <c r="I1666" s="331">
        <v>660050</v>
      </c>
      <c r="J1666" s="331">
        <v>0</v>
      </c>
      <c r="K1666" s="331">
        <f t="shared" ref="K1666:K1729" si="80">I1666-J1666</f>
        <v>660050</v>
      </c>
      <c r="L1666" s="199">
        <v>0.86</v>
      </c>
      <c r="M1666" s="199">
        <v>1.03</v>
      </c>
    </row>
    <row r="1667" spans="1:13" ht="15" customHeight="1" x14ac:dyDescent="0.25">
      <c r="A1667" s="49">
        <v>1989</v>
      </c>
      <c r="B1667" s="330" t="s">
        <v>48</v>
      </c>
      <c r="C1667" s="331">
        <v>47045035502</v>
      </c>
      <c r="D1667" s="331">
        <v>16541125970</v>
      </c>
      <c r="E1667" s="331">
        <v>138920445</v>
      </c>
      <c r="F1667" s="331">
        <v>133779</v>
      </c>
      <c r="G1667" s="370">
        <f t="shared" si="78"/>
        <v>2.8436369230566893E-6</v>
      </c>
      <c r="H1667" s="370">
        <f t="shared" si="79"/>
        <v>8.087659826944658E-6</v>
      </c>
      <c r="I1667" s="331">
        <v>718449</v>
      </c>
      <c r="J1667" s="331">
        <v>0</v>
      </c>
      <c r="K1667" s="331">
        <f t="shared" si="80"/>
        <v>718449</v>
      </c>
      <c r="L1667" s="199">
        <v>0.84</v>
      </c>
      <c r="M1667" s="199">
        <v>1.03</v>
      </c>
    </row>
    <row r="1668" spans="1:13" ht="15" customHeight="1" x14ac:dyDescent="0.25">
      <c r="A1668" s="49">
        <v>1990</v>
      </c>
      <c r="B1668" s="330" t="s">
        <v>48</v>
      </c>
      <c r="C1668" s="331">
        <v>49042560811</v>
      </c>
      <c r="D1668" s="331">
        <v>16677887550</v>
      </c>
      <c r="E1668" s="331">
        <v>137143527</v>
      </c>
      <c r="F1668" s="331">
        <v>193240</v>
      </c>
      <c r="G1668" s="370">
        <f t="shared" si="78"/>
        <v>3.9402510147197948E-6</v>
      </c>
      <c r="H1668" s="370">
        <f t="shared" si="79"/>
        <v>1.1586599287270047E-5</v>
      </c>
      <c r="I1668" s="331">
        <v>723017</v>
      </c>
      <c r="J1668" s="331">
        <v>0</v>
      </c>
      <c r="K1668" s="331">
        <f t="shared" si="80"/>
        <v>723017</v>
      </c>
      <c r="L1668" s="199">
        <v>0.82</v>
      </c>
      <c r="M1668" s="199">
        <v>1.03</v>
      </c>
    </row>
    <row r="1669" spans="1:13" ht="15" customHeight="1" x14ac:dyDescent="0.25">
      <c r="A1669" s="49">
        <v>1991</v>
      </c>
      <c r="B1669" s="330" t="s">
        <v>48</v>
      </c>
      <c r="C1669" s="331">
        <v>49516840373</v>
      </c>
      <c r="D1669" s="331">
        <v>17704401922</v>
      </c>
      <c r="E1669" s="331">
        <v>134655651</v>
      </c>
      <c r="F1669" s="331">
        <v>320177</v>
      </c>
      <c r="G1669" s="370">
        <f t="shared" si="78"/>
        <v>6.4660224196086352E-6</v>
      </c>
      <c r="H1669" s="370">
        <f t="shared" si="79"/>
        <v>1.8084598475034553E-5</v>
      </c>
      <c r="I1669" s="331">
        <v>591166</v>
      </c>
      <c r="J1669" s="331">
        <v>0</v>
      </c>
      <c r="K1669" s="331">
        <f t="shared" si="80"/>
        <v>591166</v>
      </c>
      <c r="L1669" s="199">
        <v>0.76</v>
      </c>
      <c r="M1669" s="199">
        <v>1.03</v>
      </c>
    </row>
    <row r="1670" spans="1:13" ht="15" customHeight="1" x14ac:dyDescent="0.25">
      <c r="A1670" s="49">
        <v>1992</v>
      </c>
      <c r="B1670" s="330" t="s">
        <v>48</v>
      </c>
      <c r="C1670" s="331">
        <v>52493077889</v>
      </c>
      <c r="D1670" s="331">
        <v>17931892192</v>
      </c>
      <c r="E1670" s="331">
        <v>174256190</v>
      </c>
      <c r="F1670" s="331">
        <v>286236</v>
      </c>
      <c r="G1670" s="370">
        <f t="shared" si="78"/>
        <v>5.4528332403229339E-6</v>
      </c>
      <c r="H1670" s="370">
        <f t="shared" si="79"/>
        <v>1.5962397996553825E-5</v>
      </c>
      <c r="I1670" s="331">
        <v>506641</v>
      </c>
      <c r="J1670" s="331">
        <v>0</v>
      </c>
      <c r="K1670" s="331">
        <f t="shared" si="80"/>
        <v>506641</v>
      </c>
      <c r="L1670" s="199">
        <v>0.97</v>
      </c>
      <c r="M1670" s="199">
        <v>1.03</v>
      </c>
    </row>
    <row r="1671" spans="1:13" ht="15" customHeight="1" x14ac:dyDescent="0.25">
      <c r="A1671" s="49">
        <v>1993</v>
      </c>
      <c r="B1671" s="330" t="s">
        <v>48</v>
      </c>
      <c r="C1671" s="331">
        <v>54944062422</v>
      </c>
      <c r="D1671" s="331">
        <v>18525135309</v>
      </c>
      <c r="E1671" s="331">
        <v>235930896</v>
      </c>
      <c r="F1671" s="331">
        <v>220766</v>
      </c>
      <c r="G1671" s="370">
        <f t="shared" si="78"/>
        <v>4.0180137810778934E-6</v>
      </c>
      <c r="H1671" s="370">
        <f t="shared" si="79"/>
        <v>1.191710593837045E-5</v>
      </c>
      <c r="I1671" s="331">
        <v>553441</v>
      </c>
      <c r="J1671" s="331">
        <v>0</v>
      </c>
      <c r="K1671" s="331">
        <f t="shared" si="80"/>
        <v>553441</v>
      </c>
      <c r="L1671" s="199">
        <v>1.27</v>
      </c>
      <c r="M1671" s="199">
        <v>1.03</v>
      </c>
    </row>
    <row r="1672" spans="1:13" ht="15" customHeight="1" x14ac:dyDescent="0.25">
      <c r="A1672" s="49">
        <v>1994</v>
      </c>
      <c r="B1672" s="330" t="s">
        <v>48</v>
      </c>
      <c r="C1672" s="331">
        <v>58121382327</v>
      </c>
      <c r="D1672" s="331">
        <v>19435665433</v>
      </c>
      <c r="E1672" s="331">
        <v>276651915</v>
      </c>
      <c r="F1672" s="331">
        <v>214048</v>
      </c>
      <c r="G1672" s="370">
        <f t="shared" si="78"/>
        <v>3.6827754507924885E-6</v>
      </c>
      <c r="H1672" s="370">
        <f t="shared" si="79"/>
        <v>1.1013155208803186E-5</v>
      </c>
      <c r="I1672" s="331">
        <v>658588</v>
      </c>
      <c r="J1672" s="331">
        <v>0</v>
      </c>
      <c r="K1672" s="331">
        <f t="shared" si="80"/>
        <v>658588</v>
      </c>
      <c r="L1672" s="199">
        <v>1.42</v>
      </c>
      <c r="M1672" s="199">
        <v>1.03</v>
      </c>
    </row>
    <row r="1673" spans="1:13" ht="15" customHeight="1" x14ac:dyDescent="0.25">
      <c r="A1673" s="49">
        <v>1995</v>
      </c>
      <c r="B1673" s="330" t="s">
        <v>48</v>
      </c>
      <c r="C1673" s="331">
        <v>62022119417</v>
      </c>
      <c r="D1673" s="331">
        <v>20134872848</v>
      </c>
      <c r="E1673" s="331">
        <v>281131868</v>
      </c>
      <c r="F1673" s="331">
        <v>201492</v>
      </c>
      <c r="G1673" s="370">
        <f t="shared" si="78"/>
        <v>3.2487119417072339E-6</v>
      </c>
      <c r="H1673" s="370">
        <f t="shared" si="79"/>
        <v>1.0007115590998838E-5</v>
      </c>
      <c r="I1673" s="331">
        <v>788787</v>
      </c>
      <c r="J1673" s="331">
        <v>0</v>
      </c>
      <c r="K1673" s="331">
        <f t="shared" si="80"/>
        <v>788787</v>
      </c>
      <c r="L1673" s="199">
        <v>1.4</v>
      </c>
      <c r="M1673" s="199">
        <v>0.85</v>
      </c>
    </row>
    <row r="1674" spans="1:13" ht="15" customHeight="1" x14ac:dyDescent="0.25">
      <c r="A1674" s="49">
        <v>1996</v>
      </c>
      <c r="B1674" s="330" t="s">
        <v>48</v>
      </c>
      <c r="C1674" s="331">
        <v>66698445627</v>
      </c>
      <c r="D1674" s="331">
        <v>20983179668</v>
      </c>
      <c r="E1674" s="331">
        <v>242920269</v>
      </c>
      <c r="F1674" s="331">
        <v>195184</v>
      </c>
      <c r="G1674" s="370">
        <f t="shared" si="78"/>
        <v>2.9263650474185584E-6</v>
      </c>
      <c r="H1674" s="370">
        <f t="shared" si="79"/>
        <v>9.3019267379033917E-6</v>
      </c>
      <c r="I1674" s="331">
        <v>897198</v>
      </c>
      <c r="J1674" s="331">
        <v>0</v>
      </c>
      <c r="K1674" s="331">
        <f t="shared" si="80"/>
        <v>897198</v>
      </c>
      <c r="L1674" s="199">
        <v>1.1599999999999999</v>
      </c>
      <c r="M1674" s="199">
        <v>0.84</v>
      </c>
    </row>
    <row r="1675" spans="1:13" ht="15" customHeight="1" x14ac:dyDescent="0.25">
      <c r="A1675" s="49">
        <v>1997</v>
      </c>
      <c r="B1675" s="330" t="s">
        <v>48</v>
      </c>
      <c r="C1675" s="331">
        <v>73104052152</v>
      </c>
      <c r="D1675" s="331">
        <v>22208076015</v>
      </c>
      <c r="E1675" s="331">
        <v>190469221</v>
      </c>
      <c r="F1675" s="331">
        <v>180613</v>
      </c>
      <c r="G1675" s="370">
        <f t="shared" si="78"/>
        <v>2.4706291194975675E-6</v>
      </c>
      <c r="H1675" s="370">
        <f t="shared" si="79"/>
        <v>8.1327621482387115E-6</v>
      </c>
      <c r="I1675" s="331">
        <v>979376</v>
      </c>
      <c r="J1675" s="331">
        <v>0</v>
      </c>
      <c r="K1675" s="331">
        <f t="shared" si="80"/>
        <v>979376</v>
      </c>
      <c r="L1675" s="199">
        <v>0.86</v>
      </c>
      <c r="M1675" s="199">
        <v>0.84</v>
      </c>
    </row>
    <row r="1676" spans="1:13" ht="15" customHeight="1" x14ac:dyDescent="0.25">
      <c r="A1676" s="49">
        <v>1998</v>
      </c>
      <c r="B1676" s="330" t="s">
        <v>48</v>
      </c>
      <c r="C1676" s="331">
        <v>80254921595</v>
      </c>
      <c r="D1676" s="331">
        <v>23198232519</v>
      </c>
      <c r="E1676" s="331">
        <v>139168269</v>
      </c>
      <c r="F1676" s="331">
        <v>180908</v>
      </c>
      <c r="G1676" s="370">
        <f t="shared" si="78"/>
        <v>2.2541670517471521E-6</v>
      </c>
      <c r="H1676" s="370">
        <f t="shared" si="79"/>
        <v>7.7983527344952386E-6</v>
      </c>
      <c r="I1676" s="331">
        <v>1002685</v>
      </c>
      <c r="J1676" s="331">
        <v>0</v>
      </c>
      <c r="K1676" s="331">
        <f t="shared" si="80"/>
        <v>1002685</v>
      </c>
      <c r="L1676" s="199">
        <v>0.6</v>
      </c>
      <c r="M1676" s="199">
        <v>0.84</v>
      </c>
    </row>
    <row r="1677" spans="1:13" ht="15" customHeight="1" x14ac:dyDescent="0.25">
      <c r="A1677" s="49">
        <v>1999</v>
      </c>
      <c r="B1677" s="330" t="s">
        <v>48</v>
      </c>
      <c r="C1677" s="331">
        <v>87585680455</v>
      </c>
      <c r="D1677" s="331">
        <v>24174184834</v>
      </c>
      <c r="E1677" s="331">
        <v>143516441</v>
      </c>
      <c r="F1677" s="331">
        <v>173201</v>
      </c>
      <c r="G1677" s="370">
        <f t="shared" si="78"/>
        <v>1.9775036181740652E-6</v>
      </c>
      <c r="H1677" s="370">
        <f t="shared" si="79"/>
        <v>7.1647090145682965E-6</v>
      </c>
      <c r="I1677" s="331">
        <v>1037875</v>
      </c>
      <c r="J1677" s="331">
        <v>0</v>
      </c>
      <c r="K1677" s="331">
        <f t="shared" si="80"/>
        <v>1037875</v>
      </c>
      <c r="L1677" s="199">
        <v>0.59</v>
      </c>
      <c r="M1677" s="199">
        <v>0.84</v>
      </c>
    </row>
    <row r="1678" spans="1:13" ht="15" customHeight="1" x14ac:dyDescent="0.25">
      <c r="A1678" s="49">
        <v>2000</v>
      </c>
      <c r="B1678" s="330" t="s">
        <v>48</v>
      </c>
      <c r="C1678" s="331">
        <v>96445026983</v>
      </c>
      <c r="D1678" s="331">
        <v>25446599649</v>
      </c>
      <c r="E1678" s="331">
        <v>149018905</v>
      </c>
      <c r="F1678" s="331">
        <v>191084</v>
      </c>
      <c r="G1678" s="370">
        <f t="shared" si="78"/>
        <v>1.981273747102395E-6</v>
      </c>
      <c r="H1678" s="370">
        <f t="shared" si="79"/>
        <v>7.5092154800930037E-6</v>
      </c>
      <c r="I1678" s="331">
        <v>1067516</v>
      </c>
      <c r="J1678" s="331">
        <v>0</v>
      </c>
      <c r="K1678" s="331">
        <f t="shared" si="80"/>
        <v>1067516</v>
      </c>
      <c r="L1678" s="199">
        <v>0.59</v>
      </c>
      <c r="M1678" s="199">
        <v>0.84</v>
      </c>
    </row>
    <row r="1679" spans="1:13" ht="15" customHeight="1" x14ac:dyDescent="0.25">
      <c r="A1679" s="49">
        <v>2001</v>
      </c>
      <c r="B1679" s="330" t="s">
        <v>48</v>
      </c>
      <c r="C1679" s="331">
        <v>100749591000</v>
      </c>
      <c r="D1679" s="331">
        <v>25419732889</v>
      </c>
      <c r="E1679" s="331">
        <v>147553484</v>
      </c>
      <c r="F1679" s="331">
        <v>383617</v>
      </c>
      <c r="G1679" s="370">
        <f t="shared" si="78"/>
        <v>3.8076283604962725E-6</v>
      </c>
      <c r="H1679" s="370">
        <f t="shared" si="79"/>
        <v>1.5091307279865415E-5</v>
      </c>
      <c r="I1679" s="331">
        <v>905531</v>
      </c>
      <c r="J1679" s="331">
        <v>0</v>
      </c>
      <c r="K1679" s="331">
        <f t="shared" si="80"/>
        <v>905531</v>
      </c>
      <c r="L1679" s="199">
        <v>0.57999999999999996</v>
      </c>
      <c r="M1679" s="199">
        <v>0.8</v>
      </c>
    </row>
    <row r="1680" spans="1:13" ht="15" customHeight="1" x14ac:dyDescent="0.25">
      <c r="A1680" s="49">
        <v>2002</v>
      </c>
      <c r="B1680" s="330" t="s">
        <v>48</v>
      </c>
      <c r="C1680" s="331">
        <v>99632479169</v>
      </c>
      <c r="D1680" s="331">
        <v>24845611153</v>
      </c>
      <c r="E1680" s="331">
        <v>144969766</v>
      </c>
      <c r="F1680" s="331">
        <v>733908</v>
      </c>
      <c r="G1680" s="370">
        <f t="shared" si="78"/>
        <v>7.3661521435707753E-6</v>
      </c>
      <c r="H1680" s="370">
        <f t="shared" si="79"/>
        <v>2.9538738068489163E-5</v>
      </c>
      <c r="I1680" s="331">
        <v>580376</v>
      </c>
      <c r="J1680" s="331">
        <v>0</v>
      </c>
      <c r="K1680" s="331">
        <f t="shared" si="80"/>
        <v>580376</v>
      </c>
      <c r="L1680" s="199">
        <v>0.57999999999999996</v>
      </c>
      <c r="M1680" s="199">
        <v>0.83</v>
      </c>
    </row>
    <row r="1681" spans="1:13" x14ac:dyDescent="0.25">
      <c r="A1681" s="49">
        <v>2003</v>
      </c>
      <c r="B1681" s="330" t="s">
        <v>48</v>
      </c>
      <c r="C1681" s="331">
        <v>103388232521</v>
      </c>
      <c r="D1681" s="331">
        <v>24858909482</v>
      </c>
      <c r="E1681" s="331">
        <v>244476870</v>
      </c>
      <c r="F1681" s="331">
        <v>585652</v>
      </c>
      <c r="G1681" s="370">
        <f t="shared" si="78"/>
        <v>5.6645905024156751E-6</v>
      </c>
      <c r="H1681" s="370">
        <f t="shared" si="79"/>
        <v>2.3559038276560872E-5</v>
      </c>
      <c r="I1681" s="331">
        <v>226323</v>
      </c>
      <c r="J1681" s="331">
        <v>0</v>
      </c>
      <c r="K1681" s="331">
        <f t="shared" si="80"/>
        <v>226323</v>
      </c>
      <c r="L1681" s="199">
        <v>0.98</v>
      </c>
      <c r="M1681" s="199">
        <v>0.83</v>
      </c>
    </row>
    <row r="1682" spans="1:13" ht="15" customHeight="1" x14ac:dyDescent="0.25">
      <c r="A1682" s="49">
        <v>2004</v>
      </c>
      <c r="B1682" s="330" t="s">
        <v>48</v>
      </c>
      <c r="C1682" s="331">
        <v>111603962228</v>
      </c>
      <c r="D1682" s="331">
        <v>25884517625</v>
      </c>
      <c r="E1682" s="331">
        <v>464918534</v>
      </c>
      <c r="F1682" s="331">
        <v>371373</v>
      </c>
      <c r="G1682" s="370">
        <f t="shared" si="78"/>
        <v>3.3275969113113376E-6</v>
      </c>
      <c r="H1682" s="370">
        <f t="shared" si="79"/>
        <v>1.4347302328760319E-5</v>
      </c>
      <c r="I1682" s="331">
        <v>292018</v>
      </c>
      <c r="J1682" s="331">
        <v>0</v>
      </c>
      <c r="K1682" s="331">
        <f t="shared" si="80"/>
        <v>292018</v>
      </c>
      <c r="L1682" s="199">
        <v>1.8</v>
      </c>
      <c r="M1682" s="199">
        <v>0.83</v>
      </c>
    </row>
    <row r="1683" spans="1:13" ht="15" customHeight="1" x14ac:dyDescent="0.25">
      <c r="A1683" s="49">
        <v>2005</v>
      </c>
      <c r="B1683" s="330" t="s">
        <v>48</v>
      </c>
      <c r="C1683" s="331">
        <v>119454808146</v>
      </c>
      <c r="D1683" s="331">
        <v>26793481138</v>
      </c>
      <c r="E1683" s="331">
        <v>541478895</v>
      </c>
      <c r="F1683" s="331">
        <v>327078</v>
      </c>
      <c r="G1683" s="370">
        <f t="shared" si="78"/>
        <v>2.7380898691012828E-6</v>
      </c>
      <c r="H1683" s="370">
        <f t="shared" si="79"/>
        <v>1.2207372319982709E-5</v>
      </c>
      <c r="I1683" s="331">
        <v>517974</v>
      </c>
      <c r="J1683" s="331">
        <v>0</v>
      </c>
      <c r="K1683" s="331">
        <f t="shared" si="80"/>
        <v>517974</v>
      </c>
      <c r="L1683" s="199">
        <v>2.02</v>
      </c>
      <c r="M1683" s="199">
        <v>0.83</v>
      </c>
    </row>
    <row r="1684" spans="1:13" ht="15" customHeight="1" x14ac:dyDescent="0.25">
      <c r="A1684" s="49">
        <v>2006</v>
      </c>
      <c r="B1684" s="330" t="s">
        <v>48</v>
      </c>
      <c r="C1684" s="331">
        <v>126244718001</v>
      </c>
      <c r="D1684" s="331">
        <v>27375790388</v>
      </c>
      <c r="E1684" s="331">
        <v>504656828</v>
      </c>
      <c r="F1684" s="331">
        <v>335277</v>
      </c>
      <c r="G1684" s="370">
        <f t="shared" si="78"/>
        <v>2.6557705170472498E-6</v>
      </c>
      <c r="H1684" s="370">
        <f t="shared" si="79"/>
        <v>1.2247208034839662E-5</v>
      </c>
      <c r="I1684" s="331">
        <v>713062</v>
      </c>
      <c r="J1684" s="331">
        <v>0</v>
      </c>
      <c r="K1684" s="331">
        <f t="shared" si="80"/>
        <v>713062</v>
      </c>
      <c r="L1684" s="199">
        <v>1.84</v>
      </c>
      <c r="M1684" s="199">
        <v>0.83</v>
      </c>
    </row>
    <row r="1685" spans="1:13" ht="15" customHeight="1" x14ac:dyDescent="0.25">
      <c r="A1685" s="49">
        <v>2007</v>
      </c>
      <c r="B1685" s="330" t="s">
        <v>48</v>
      </c>
      <c r="C1685" s="331">
        <v>132522329935</v>
      </c>
      <c r="D1685" s="331">
        <v>27565189756</v>
      </c>
      <c r="E1685" s="331">
        <v>387938313</v>
      </c>
      <c r="F1685" s="331">
        <v>368386</v>
      </c>
      <c r="G1685" s="370">
        <f t="shared" si="78"/>
        <v>2.7798032239599712E-6</v>
      </c>
      <c r="H1685" s="370">
        <f t="shared" si="79"/>
        <v>1.3364174281434612E-5</v>
      </c>
      <c r="I1685" s="331">
        <v>775202</v>
      </c>
      <c r="J1685" s="331">
        <v>0</v>
      </c>
      <c r="K1685" s="331">
        <f t="shared" si="80"/>
        <v>775202</v>
      </c>
      <c r="L1685" s="199">
        <v>1.41</v>
      </c>
      <c r="M1685" s="199">
        <v>0.83</v>
      </c>
    </row>
    <row r="1686" spans="1:13" ht="15" customHeight="1" x14ac:dyDescent="0.25">
      <c r="A1686" s="49">
        <v>2008</v>
      </c>
      <c r="B1686" s="330" t="s">
        <v>48</v>
      </c>
      <c r="C1686" s="331">
        <v>134708254522</v>
      </c>
      <c r="D1686" s="331">
        <v>27117490597</v>
      </c>
      <c r="E1686" s="331">
        <v>309742370</v>
      </c>
      <c r="F1686" s="331">
        <v>501279</v>
      </c>
      <c r="G1686" s="370">
        <f t="shared" si="78"/>
        <v>3.7212196222031306E-6</v>
      </c>
      <c r="H1686" s="370">
        <f t="shared" si="79"/>
        <v>1.8485449389459964E-5</v>
      </c>
      <c r="I1686" s="331">
        <v>616445</v>
      </c>
      <c r="J1686" s="331">
        <v>0</v>
      </c>
      <c r="K1686" s="331">
        <f t="shared" si="80"/>
        <v>616445</v>
      </c>
      <c r="L1686" s="199">
        <v>1.1000000000000001</v>
      </c>
      <c r="M1686" s="199">
        <v>0.83</v>
      </c>
    </row>
    <row r="1687" spans="1:13" ht="15" customHeight="1" x14ac:dyDescent="0.25">
      <c r="A1687" s="49">
        <v>2009</v>
      </c>
      <c r="B1687" s="330" t="s">
        <v>48</v>
      </c>
      <c r="C1687" s="331">
        <v>131173082883</v>
      </c>
      <c r="D1687" s="331">
        <v>25458083778</v>
      </c>
      <c r="E1687" s="331">
        <v>305990501</v>
      </c>
      <c r="F1687" s="331">
        <v>1045930</v>
      </c>
      <c r="G1687" s="370">
        <f t="shared" si="78"/>
        <v>7.9736633233886751E-6</v>
      </c>
      <c r="H1687" s="370">
        <f t="shared" si="79"/>
        <v>4.1084396183182359E-5</v>
      </c>
      <c r="I1687" s="331">
        <v>68552</v>
      </c>
      <c r="J1687" s="331">
        <v>122434</v>
      </c>
      <c r="K1687" s="331">
        <f t="shared" si="80"/>
        <v>-53882</v>
      </c>
      <c r="L1687" s="199">
        <v>1.2</v>
      </c>
      <c r="M1687" s="199">
        <v>0.73</v>
      </c>
    </row>
    <row r="1688" spans="1:13" ht="15" customHeight="1" x14ac:dyDescent="0.25">
      <c r="A1688" s="49">
        <v>2010</v>
      </c>
      <c r="B1688" s="330" t="s">
        <v>48</v>
      </c>
      <c r="C1688" s="331">
        <v>134643390811</v>
      </c>
      <c r="D1688" s="331">
        <v>25658827640</v>
      </c>
      <c r="E1688" s="331">
        <v>521263143</v>
      </c>
      <c r="F1688" s="331">
        <v>724846</v>
      </c>
      <c r="G1688" s="370">
        <f t="shared" si="78"/>
        <v>5.3834502802849947E-6</v>
      </c>
      <c r="H1688" s="370">
        <f t="shared" si="79"/>
        <v>2.8249381077334365E-5</v>
      </c>
      <c r="I1688" s="331">
        <v>63269</v>
      </c>
      <c r="J1688" s="331">
        <v>346892</v>
      </c>
      <c r="K1688" s="331">
        <f t="shared" si="80"/>
        <v>-283623</v>
      </c>
      <c r="L1688" s="199">
        <v>2</v>
      </c>
      <c r="M1688" s="199">
        <v>0.73</v>
      </c>
    </row>
    <row r="1689" spans="1:13" ht="15" customHeight="1" x14ac:dyDescent="0.25">
      <c r="A1689" s="49">
        <v>2011</v>
      </c>
      <c r="B1689" s="330" t="s">
        <v>48</v>
      </c>
      <c r="C1689" s="331">
        <v>139485660444</v>
      </c>
      <c r="D1689" s="331">
        <v>26149678775</v>
      </c>
      <c r="E1689" s="331">
        <v>685576042</v>
      </c>
      <c r="F1689" s="331">
        <v>605241</v>
      </c>
      <c r="G1689" s="370">
        <f t="shared" si="78"/>
        <v>4.3390911873911878E-6</v>
      </c>
      <c r="H1689" s="370">
        <f t="shared" si="79"/>
        <v>2.314525563421572E-5</v>
      </c>
      <c r="I1689" s="331">
        <v>55334</v>
      </c>
      <c r="J1689" s="331">
        <v>275389</v>
      </c>
      <c r="K1689" s="331">
        <f t="shared" si="80"/>
        <v>-220055</v>
      </c>
      <c r="L1689" s="199">
        <v>2.6</v>
      </c>
      <c r="M1689" s="199">
        <v>0.73</v>
      </c>
    </row>
    <row r="1690" spans="1:13" ht="15" customHeight="1" x14ac:dyDescent="0.25">
      <c r="A1690" s="49">
        <v>2012</v>
      </c>
      <c r="B1690" s="330" t="s">
        <v>48</v>
      </c>
      <c r="C1690" s="331">
        <v>144376441145</v>
      </c>
      <c r="D1690" s="331">
        <v>26639460574</v>
      </c>
      <c r="E1690" s="331">
        <v>768999321</v>
      </c>
      <c r="F1690" s="331">
        <v>586949</v>
      </c>
      <c r="G1690" s="370">
        <f t="shared" si="78"/>
        <v>4.0654070383305542E-6</v>
      </c>
      <c r="H1690" s="370">
        <f t="shared" si="79"/>
        <v>2.2033066261591636E-5</v>
      </c>
      <c r="I1690" s="331">
        <v>47016</v>
      </c>
      <c r="J1690" s="331">
        <v>0</v>
      </c>
      <c r="K1690" s="331">
        <f t="shared" si="80"/>
        <v>47016</v>
      </c>
      <c r="L1690" s="199">
        <v>2.89</v>
      </c>
      <c r="M1690" s="199">
        <v>0.73</v>
      </c>
    </row>
    <row r="1691" spans="1:13" ht="15" customHeight="1" x14ac:dyDescent="0.25">
      <c r="A1691" s="49">
        <v>2013</v>
      </c>
      <c r="B1691" s="330" t="s">
        <v>48</v>
      </c>
      <c r="C1691" s="331">
        <v>146131825042</v>
      </c>
      <c r="D1691" s="331">
        <v>27038306690</v>
      </c>
      <c r="E1691" s="331">
        <v>778161311</v>
      </c>
      <c r="F1691" s="331">
        <v>555209</v>
      </c>
      <c r="G1691" s="370">
        <f t="shared" si="78"/>
        <v>3.7993708751699122E-6</v>
      </c>
      <c r="H1691" s="370">
        <f t="shared" si="79"/>
        <v>2.0534163117742194E-5</v>
      </c>
      <c r="I1691" s="331">
        <v>219464</v>
      </c>
      <c r="J1691" s="331">
        <v>0</v>
      </c>
      <c r="K1691" s="331">
        <f t="shared" si="80"/>
        <v>219464</v>
      </c>
      <c r="L1691" s="199">
        <v>2.88</v>
      </c>
      <c r="M1691" s="199">
        <v>0.73</v>
      </c>
    </row>
    <row r="1692" spans="1:13" ht="15" customHeight="1" x14ac:dyDescent="0.25">
      <c r="A1692" s="49">
        <v>2014</v>
      </c>
      <c r="B1692" s="330" t="s">
        <v>48</v>
      </c>
      <c r="C1692" s="331">
        <v>149362419298</v>
      </c>
      <c r="D1692" s="331">
        <v>27115920878</v>
      </c>
      <c r="E1692" s="331">
        <v>711305762</v>
      </c>
      <c r="F1692" s="331">
        <v>478026</v>
      </c>
      <c r="G1692" s="370">
        <f t="shared" si="78"/>
        <v>3.2004436072119842E-6</v>
      </c>
      <c r="H1692" s="370">
        <f t="shared" si="79"/>
        <v>1.7628979010181342E-5</v>
      </c>
      <c r="I1692" s="331">
        <v>473102</v>
      </c>
      <c r="J1692" s="331">
        <v>0</v>
      </c>
      <c r="K1692" s="331">
        <f t="shared" si="80"/>
        <v>473102</v>
      </c>
      <c r="L1692" s="333">
        <v>2.623203413228369</v>
      </c>
      <c r="M1692" s="199">
        <v>0.73</v>
      </c>
    </row>
    <row r="1693" spans="1:13" ht="15" customHeight="1" x14ac:dyDescent="0.25">
      <c r="A1693" s="49">
        <v>2015</v>
      </c>
      <c r="B1693" s="330" t="s">
        <v>48</v>
      </c>
      <c r="C1693" s="334">
        <v>156764355000</v>
      </c>
      <c r="D1693" s="334">
        <v>28216511000</v>
      </c>
      <c r="E1693" s="334">
        <v>661471000</v>
      </c>
      <c r="F1693" s="331">
        <v>375787</v>
      </c>
      <c r="G1693" s="370">
        <f t="shared" si="78"/>
        <v>2.3971457031797821E-6</v>
      </c>
      <c r="H1693" s="370">
        <f t="shared" si="79"/>
        <v>1.3317982510311073E-5</v>
      </c>
      <c r="I1693" s="331">
        <v>769647</v>
      </c>
      <c r="J1693" s="199">
        <v>0</v>
      </c>
      <c r="K1693" s="331">
        <f t="shared" si="80"/>
        <v>769647</v>
      </c>
      <c r="L1693" s="199">
        <v>2.2999999999999998</v>
      </c>
      <c r="M1693" s="199">
        <v>0.73</v>
      </c>
    </row>
    <row r="1694" spans="1:13" ht="15" customHeight="1" x14ac:dyDescent="0.25">
      <c r="A1694" s="49">
        <v>1980</v>
      </c>
      <c r="B1694" s="330" t="s">
        <v>49</v>
      </c>
      <c r="C1694" s="331">
        <v>266974408</v>
      </c>
      <c r="D1694" s="331">
        <v>144957019</v>
      </c>
      <c r="E1694" s="331">
        <v>5350778</v>
      </c>
      <c r="F1694" s="331">
        <v>3050</v>
      </c>
      <c r="G1694" s="370">
        <f t="shared" si="78"/>
        <v>1.1424315996610432E-5</v>
      </c>
      <c r="H1694" s="370">
        <f t="shared" si="79"/>
        <v>2.1040719663254111E-5</v>
      </c>
      <c r="I1694" s="331">
        <v>2166</v>
      </c>
      <c r="J1694" s="331">
        <v>7405</v>
      </c>
      <c r="K1694" s="331">
        <f t="shared" si="80"/>
        <v>-5239</v>
      </c>
      <c r="L1694" s="199">
        <v>3.69</v>
      </c>
      <c r="M1694" s="199" t="e">
        <v>#N/A</v>
      </c>
    </row>
    <row r="1695" spans="1:13" ht="15" customHeight="1" x14ac:dyDescent="0.25">
      <c r="A1695" s="49">
        <v>1981</v>
      </c>
      <c r="B1695" s="330" t="s">
        <v>49</v>
      </c>
      <c r="C1695" s="331">
        <v>295209013</v>
      </c>
      <c r="D1695" s="331">
        <v>159226385</v>
      </c>
      <c r="E1695" s="331">
        <v>5878937</v>
      </c>
      <c r="F1695" s="331">
        <v>4520</v>
      </c>
      <c r="G1695" s="370">
        <f t="shared" si="78"/>
        <v>1.5311185637817909E-5</v>
      </c>
      <c r="H1695" s="370">
        <f t="shared" si="79"/>
        <v>2.838725503942076E-5</v>
      </c>
      <c r="I1695" s="331">
        <v>1337</v>
      </c>
      <c r="J1695" s="331">
        <v>4172</v>
      </c>
      <c r="K1695" s="331">
        <f t="shared" si="80"/>
        <v>-2835</v>
      </c>
      <c r="L1695" s="199">
        <v>3.69</v>
      </c>
      <c r="M1695" s="199" t="e">
        <v>#N/A</v>
      </c>
    </row>
    <row r="1696" spans="1:13" ht="15" customHeight="1" x14ac:dyDescent="0.25">
      <c r="A1696" s="49">
        <v>1982</v>
      </c>
      <c r="B1696" s="330" t="s">
        <v>49</v>
      </c>
      <c r="C1696" s="331">
        <v>309401013</v>
      </c>
      <c r="D1696" s="331">
        <v>184587162</v>
      </c>
      <c r="E1696" s="331">
        <v>5806077</v>
      </c>
      <c r="F1696" s="331">
        <v>6528</v>
      </c>
      <c r="G1696" s="370">
        <f t="shared" si="78"/>
        <v>2.1098832019661162E-5</v>
      </c>
      <c r="H1696" s="370">
        <f t="shared" si="79"/>
        <v>3.536540639808959E-5</v>
      </c>
      <c r="I1696" s="331">
        <v>30</v>
      </c>
      <c r="J1696" s="331">
        <v>2920</v>
      </c>
      <c r="K1696" s="331">
        <f t="shared" si="80"/>
        <v>-2890</v>
      </c>
      <c r="L1696" s="199">
        <v>3.15</v>
      </c>
      <c r="M1696" s="199" t="e">
        <v>#N/A</v>
      </c>
    </row>
    <row r="1697" spans="1:13" ht="15" customHeight="1" x14ac:dyDescent="0.25">
      <c r="A1697" s="49">
        <v>1983</v>
      </c>
      <c r="B1697" s="330" t="s">
        <v>49</v>
      </c>
      <c r="C1697" s="331">
        <v>303355005</v>
      </c>
      <c r="D1697" s="331">
        <v>183230653</v>
      </c>
      <c r="E1697" s="331">
        <v>6229880</v>
      </c>
      <c r="F1697" s="331">
        <v>0</v>
      </c>
      <c r="G1697" s="370">
        <f t="shared" si="78"/>
        <v>0</v>
      </c>
      <c r="H1697" s="370">
        <f t="shared" si="79"/>
        <v>0</v>
      </c>
      <c r="I1697" s="331">
        <v>0</v>
      </c>
      <c r="J1697" s="331">
        <v>4405</v>
      </c>
      <c r="K1697" s="331">
        <f t="shared" si="80"/>
        <v>-4405</v>
      </c>
      <c r="L1697" s="199">
        <v>3.4</v>
      </c>
      <c r="M1697" s="199" t="e">
        <v>#N/A</v>
      </c>
    </row>
    <row r="1698" spans="1:13" ht="15" customHeight="1" x14ac:dyDescent="0.25">
      <c r="A1698" s="49">
        <v>1984</v>
      </c>
      <c r="B1698" s="330" t="s">
        <v>49</v>
      </c>
      <c r="C1698" s="331">
        <v>319489270</v>
      </c>
      <c r="D1698" s="331">
        <v>186728453</v>
      </c>
      <c r="E1698" s="331">
        <v>6348745</v>
      </c>
      <c r="F1698" s="331">
        <v>7276</v>
      </c>
      <c r="G1698" s="370">
        <f t="shared" si="78"/>
        <v>2.2773847772728016E-5</v>
      </c>
      <c r="H1698" s="370">
        <f t="shared" si="79"/>
        <v>3.8965673860105293E-5</v>
      </c>
      <c r="I1698" s="331">
        <v>32</v>
      </c>
      <c r="J1698" s="331">
        <v>4140</v>
      </c>
      <c r="K1698" s="331">
        <f t="shared" si="80"/>
        <v>-4108</v>
      </c>
      <c r="L1698" s="199">
        <v>3.4</v>
      </c>
      <c r="M1698" s="199" t="e">
        <v>#N/A</v>
      </c>
    </row>
    <row r="1699" spans="1:13" ht="15" customHeight="1" x14ac:dyDescent="0.25">
      <c r="A1699" s="49">
        <v>1985</v>
      </c>
      <c r="B1699" s="330" t="s">
        <v>49</v>
      </c>
      <c r="C1699" s="331">
        <v>321390271</v>
      </c>
      <c r="D1699" s="331">
        <v>246244238</v>
      </c>
      <c r="E1699" s="331">
        <v>11349527</v>
      </c>
      <c r="F1699" s="331">
        <v>5181</v>
      </c>
      <c r="G1699" s="370">
        <f t="shared" si="78"/>
        <v>1.6120587545725676E-5</v>
      </c>
      <c r="H1699" s="370">
        <f t="shared" si="79"/>
        <v>2.1040086225286621E-5</v>
      </c>
      <c r="I1699" s="331">
        <v>5192</v>
      </c>
      <c r="J1699" s="331">
        <v>3129</v>
      </c>
      <c r="K1699" s="331">
        <f t="shared" si="80"/>
        <v>2063</v>
      </c>
      <c r="L1699" s="199">
        <v>4.6100000000000003</v>
      </c>
      <c r="M1699" s="199" t="e">
        <v>#N/A</v>
      </c>
    </row>
    <row r="1700" spans="1:13" ht="15" customHeight="1" x14ac:dyDescent="0.25">
      <c r="A1700" s="49">
        <v>1986</v>
      </c>
      <c r="B1700" s="330" t="s">
        <v>49</v>
      </c>
      <c r="C1700" s="331">
        <v>343709403</v>
      </c>
      <c r="D1700" s="331">
        <v>267508889</v>
      </c>
      <c r="E1700" s="331">
        <v>9211499</v>
      </c>
      <c r="F1700" s="331">
        <v>3644</v>
      </c>
      <c r="G1700" s="370">
        <f t="shared" si="78"/>
        <v>1.0601979370346176E-5</v>
      </c>
      <c r="H1700" s="370">
        <f t="shared" si="79"/>
        <v>1.3621977249511137E-5</v>
      </c>
      <c r="I1700" s="331">
        <v>9628</v>
      </c>
      <c r="J1700" s="331">
        <v>0</v>
      </c>
      <c r="K1700" s="331">
        <f t="shared" si="80"/>
        <v>9628</v>
      </c>
      <c r="L1700" s="199">
        <v>3.44</v>
      </c>
      <c r="M1700" s="199" t="e">
        <v>#N/A</v>
      </c>
    </row>
    <row r="1701" spans="1:13" ht="15" customHeight="1" x14ac:dyDescent="0.25">
      <c r="A1701" s="49">
        <v>1987</v>
      </c>
      <c r="B1701" s="330" t="s">
        <v>49</v>
      </c>
      <c r="C1701" s="331">
        <v>397367067</v>
      </c>
      <c r="D1701" s="331">
        <v>300099474</v>
      </c>
      <c r="E1701" s="331">
        <v>7752750</v>
      </c>
      <c r="F1701" s="331">
        <v>1681</v>
      </c>
      <c r="G1701" s="370">
        <f t="shared" si="78"/>
        <v>4.230345540940362E-6</v>
      </c>
      <c r="H1701" s="370">
        <f t="shared" si="79"/>
        <v>5.6014759959226051E-6</v>
      </c>
      <c r="I1701" s="331">
        <v>16720</v>
      </c>
      <c r="J1701" s="331">
        <v>0</v>
      </c>
      <c r="K1701" s="331">
        <f t="shared" si="80"/>
        <v>16720</v>
      </c>
      <c r="L1701" s="199">
        <v>2.58</v>
      </c>
      <c r="M1701" s="199" t="e">
        <v>#N/A</v>
      </c>
    </row>
    <row r="1702" spans="1:13" ht="15" customHeight="1" x14ac:dyDescent="0.25">
      <c r="A1702" s="49">
        <v>1988</v>
      </c>
      <c r="B1702" s="330" t="s">
        <v>49</v>
      </c>
      <c r="C1702" s="331">
        <v>433466101</v>
      </c>
      <c r="D1702" s="331">
        <v>322973857</v>
      </c>
      <c r="E1702" s="331">
        <v>7218927</v>
      </c>
      <c r="F1702" s="331">
        <v>2464</v>
      </c>
      <c r="G1702" s="370">
        <f t="shared" si="78"/>
        <v>5.6844122165853061E-6</v>
      </c>
      <c r="H1702" s="370">
        <f t="shared" si="79"/>
        <v>7.6291004568831092E-6</v>
      </c>
      <c r="I1702" s="331">
        <v>23198</v>
      </c>
      <c r="J1702" s="331">
        <v>0</v>
      </c>
      <c r="K1702" s="331">
        <f t="shared" si="80"/>
        <v>23198</v>
      </c>
      <c r="L1702" s="199">
        <v>2.2400000000000002</v>
      </c>
      <c r="M1702" s="199" t="e">
        <v>#N/A</v>
      </c>
    </row>
    <row r="1703" spans="1:13" ht="15" customHeight="1" x14ac:dyDescent="0.25">
      <c r="A1703" s="49">
        <v>1989</v>
      </c>
      <c r="B1703" s="330" t="s">
        <v>49</v>
      </c>
      <c r="C1703" s="331">
        <v>465862504</v>
      </c>
      <c r="D1703" s="331">
        <v>363811972</v>
      </c>
      <c r="E1703" s="331">
        <v>8022864</v>
      </c>
      <c r="F1703" s="331">
        <v>2965</v>
      </c>
      <c r="G1703" s="370">
        <f t="shared" si="78"/>
        <v>6.3645388382663227E-6</v>
      </c>
      <c r="H1703" s="370">
        <f t="shared" si="79"/>
        <v>8.1498142672446202E-6</v>
      </c>
      <c r="I1703" s="331">
        <v>28353</v>
      </c>
      <c r="J1703" s="331">
        <v>0</v>
      </c>
      <c r="K1703" s="331">
        <f t="shared" si="80"/>
        <v>28353</v>
      </c>
      <c r="L1703" s="199">
        <v>2.21</v>
      </c>
      <c r="M1703" s="199" t="e">
        <v>#N/A</v>
      </c>
    </row>
    <row r="1704" spans="1:13" ht="15" customHeight="1" x14ac:dyDescent="0.25">
      <c r="A1704" s="49">
        <v>1990</v>
      </c>
      <c r="B1704" s="330" t="s">
        <v>49</v>
      </c>
      <c r="C1704" s="331">
        <v>550237676</v>
      </c>
      <c r="D1704" s="331">
        <v>413113731</v>
      </c>
      <c r="E1704" s="331">
        <v>10539067</v>
      </c>
      <c r="F1704" s="331">
        <v>1535</v>
      </c>
      <c r="G1704" s="370">
        <f t="shared" si="78"/>
        <v>2.7897035534876752E-6</v>
      </c>
      <c r="H1704" s="370">
        <f t="shared" si="79"/>
        <v>3.7156838052424842E-6</v>
      </c>
      <c r="I1704" s="331">
        <v>37672</v>
      </c>
      <c r="J1704" s="331">
        <v>0</v>
      </c>
      <c r="K1704" s="331">
        <f t="shared" si="80"/>
        <v>37672</v>
      </c>
      <c r="L1704" s="199">
        <v>2.5499999999999998</v>
      </c>
      <c r="M1704" s="199" t="e">
        <v>#N/A</v>
      </c>
    </row>
    <row r="1705" spans="1:13" ht="15" customHeight="1" x14ac:dyDescent="0.25">
      <c r="A1705" s="49">
        <v>1991</v>
      </c>
      <c r="B1705" s="330" t="s">
        <v>49</v>
      </c>
      <c r="C1705" s="331">
        <v>591696869</v>
      </c>
      <c r="D1705" s="331">
        <v>452907770</v>
      </c>
      <c r="E1705" s="331">
        <v>7701992</v>
      </c>
      <c r="F1705" s="331">
        <v>3372</v>
      </c>
      <c r="G1705" s="370">
        <f t="shared" si="78"/>
        <v>5.6988640242407637E-6</v>
      </c>
      <c r="H1705" s="370">
        <f t="shared" si="79"/>
        <v>7.4452244438199856E-6</v>
      </c>
      <c r="I1705" s="331">
        <v>43241</v>
      </c>
      <c r="J1705" s="331">
        <v>0</v>
      </c>
      <c r="K1705" s="331">
        <f t="shared" si="80"/>
        <v>43241</v>
      </c>
      <c r="L1705" s="199">
        <v>1.7</v>
      </c>
      <c r="M1705" s="199" t="e">
        <v>#N/A</v>
      </c>
    </row>
    <row r="1706" spans="1:13" ht="15" customHeight="1" x14ac:dyDescent="0.25">
      <c r="A1706" s="49">
        <v>1992</v>
      </c>
      <c r="B1706" s="330" t="s">
        <v>49</v>
      </c>
      <c r="C1706" s="331">
        <v>647406528</v>
      </c>
      <c r="D1706" s="331">
        <v>478121479</v>
      </c>
      <c r="E1706" s="331">
        <v>9357457</v>
      </c>
      <c r="F1706" s="331">
        <v>6126</v>
      </c>
      <c r="G1706" s="370">
        <f t="shared" si="78"/>
        <v>9.462369832637832E-6</v>
      </c>
      <c r="H1706" s="370">
        <f t="shared" si="79"/>
        <v>1.2812643374258449E-5</v>
      </c>
      <c r="I1706" s="331">
        <v>47416</v>
      </c>
      <c r="J1706" s="331">
        <v>0</v>
      </c>
      <c r="K1706" s="331">
        <f t="shared" si="80"/>
        <v>47416</v>
      </c>
      <c r="L1706" s="199">
        <v>1.96</v>
      </c>
      <c r="M1706" s="199" t="e">
        <v>#N/A</v>
      </c>
    </row>
    <row r="1707" spans="1:13" ht="15" customHeight="1" x14ac:dyDescent="0.25">
      <c r="A1707" s="49">
        <v>1993</v>
      </c>
      <c r="B1707" s="330" t="s">
        <v>49</v>
      </c>
      <c r="C1707" s="331">
        <v>782014232</v>
      </c>
      <c r="D1707" s="331">
        <v>595128088</v>
      </c>
      <c r="E1707" s="331">
        <v>11322193</v>
      </c>
      <c r="F1707" s="331">
        <v>7283</v>
      </c>
      <c r="G1707" s="370">
        <f t="shared" si="78"/>
        <v>9.3131297385390805E-6</v>
      </c>
      <c r="H1707" s="370">
        <f t="shared" si="79"/>
        <v>1.2237701676080191E-5</v>
      </c>
      <c r="I1707" s="331">
        <v>51575</v>
      </c>
      <c r="J1707" s="331">
        <v>0</v>
      </c>
      <c r="K1707" s="331">
        <f t="shared" si="80"/>
        <v>51575</v>
      </c>
      <c r="L1707" s="199">
        <v>1.9</v>
      </c>
      <c r="M1707" s="199" t="e">
        <v>#N/A</v>
      </c>
    </row>
    <row r="1708" spans="1:13" ht="15" customHeight="1" x14ac:dyDescent="0.25">
      <c r="A1708" s="49">
        <v>1994</v>
      </c>
      <c r="B1708" s="330" t="s">
        <v>49</v>
      </c>
      <c r="C1708" s="331">
        <v>611099524</v>
      </c>
      <c r="D1708" s="331">
        <v>456080952</v>
      </c>
      <c r="E1708" s="331">
        <v>6649361</v>
      </c>
      <c r="F1708" s="331">
        <v>17729</v>
      </c>
      <c r="G1708" s="370">
        <f t="shared" si="78"/>
        <v>2.9011640990903473E-5</v>
      </c>
      <c r="H1708" s="370">
        <f t="shared" si="79"/>
        <v>3.887248507585118E-5</v>
      </c>
      <c r="I1708" s="331">
        <v>40843</v>
      </c>
      <c r="J1708" s="331">
        <v>0</v>
      </c>
      <c r="K1708" s="331">
        <f t="shared" si="80"/>
        <v>40843</v>
      </c>
      <c r="L1708" s="199">
        <v>1.46</v>
      </c>
      <c r="M1708" s="199" t="e">
        <v>#N/A</v>
      </c>
    </row>
    <row r="1709" spans="1:13" ht="15" customHeight="1" x14ac:dyDescent="0.25">
      <c r="A1709" s="49">
        <v>1995</v>
      </c>
      <c r="B1709" s="330" t="s">
        <v>49</v>
      </c>
      <c r="C1709" s="331">
        <v>584016184</v>
      </c>
      <c r="D1709" s="331">
        <v>362093492</v>
      </c>
      <c r="E1709" s="331">
        <v>8414395</v>
      </c>
      <c r="F1709" s="331">
        <v>10540</v>
      </c>
      <c r="G1709" s="370">
        <f t="shared" si="78"/>
        <v>1.80474450687483E-5</v>
      </c>
      <c r="H1709" s="370">
        <f t="shared" si="79"/>
        <v>2.9108504385933566E-5</v>
      </c>
      <c r="I1709" s="331">
        <v>40064</v>
      </c>
      <c r="J1709" s="331">
        <v>0</v>
      </c>
      <c r="K1709" s="331">
        <f t="shared" si="80"/>
        <v>40064</v>
      </c>
      <c r="L1709" s="199">
        <v>2.3199999999999998</v>
      </c>
      <c r="M1709" s="199" t="e">
        <v>#N/A</v>
      </c>
    </row>
    <row r="1710" spans="1:13" ht="15" customHeight="1" x14ac:dyDescent="0.25">
      <c r="A1710" s="49">
        <v>1996</v>
      </c>
      <c r="B1710" s="330" t="s">
        <v>49</v>
      </c>
      <c r="C1710" s="331">
        <v>595445099</v>
      </c>
      <c r="D1710" s="331">
        <v>351721210</v>
      </c>
      <c r="E1710" s="331">
        <v>9872623</v>
      </c>
      <c r="F1710" s="331">
        <v>7462</v>
      </c>
      <c r="G1710" s="370">
        <f t="shared" si="78"/>
        <v>1.2531801861383698E-5</v>
      </c>
      <c r="H1710" s="370">
        <f t="shared" si="79"/>
        <v>2.1215666806104757E-5</v>
      </c>
      <c r="I1710" s="331">
        <v>42069</v>
      </c>
      <c r="J1710" s="331">
        <v>0</v>
      </c>
      <c r="K1710" s="331">
        <f t="shared" si="80"/>
        <v>42069</v>
      </c>
      <c r="L1710" s="199">
        <v>2.83</v>
      </c>
      <c r="M1710" s="199" t="e">
        <v>#N/A</v>
      </c>
    </row>
    <row r="1711" spans="1:13" ht="15" customHeight="1" x14ac:dyDescent="0.25">
      <c r="A1711" s="49">
        <v>1997</v>
      </c>
      <c r="B1711" s="330" t="s">
        <v>49</v>
      </c>
      <c r="C1711" s="331">
        <v>636015050</v>
      </c>
      <c r="D1711" s="331">
        <v>357237011</v>
      </c>
      <c r="E1711" s="331">
        <v>8688366</v>
      </c>
      <c r="F1711" s="331">
        <v>5724</v>
      </c>
      <c r="G1711" s="370">
        <f t="shared" si="78"/>
        <v>8.9997870333414285E-6</v>
      </c>
      <c r="H1711" s="370">
        <f t="shared" si="79"/>
        <v>1.6022975850058268E-5</v>
      </c>
      <c r="I1711" s="331">
        <v>45434</v>
      </c>
      <c r="J1711" s="331">
        <v>0</v>
      </c>
      <c r="K1711" s="331">
        <f t="shared" si="80"/>
        <v>45434</v>
      </c>
      <c r="L1711" s="199">
        <v>2.81</v>
      </c>
      <c r="M1711" s="199">
        <v>2.4500000000000002</v>
      </c>
    </row>
    <row r="1712" spans="1:13" ht="15" customHeight="1" x14ac:dyDescent="0.25">
      <c r="A1712" s="49">
        <v>1998</v>
      </c>
      <c r="B1712" s="330" t="s">
        <v>49</v>
      </c>
      <c r="C1712" s="331">
        <v>627560560</v>
      </c>
      <c r="D1712" s="331">
        <v>364675936</v>
      </c>
      <c r="E1712" s="331">
        <v>5890465</v>
      </c>
      <c r="F1712" s="331">
        <v>4112</v>
      </c>
      <c r="G1712" s="370">
        <f t="shared" si="78"/>
        <v>6.5523556802231164E-6</v>
      </c>
      <c r="H1712" s="370">
        <f t="shared" si="79"/>
        <v>1.1275764573618589E-5</v>
      </c>
      <c r="I1712" s="331">
        <v>48326</v>
      </c>
      <c r="J1712" s="331">
        <v>0</v>
      </c>
      <c r="K1712" s="331">
        <f t="shared" si="80"/>
        <v>48326</v>
      </c>
      <c r="L1712" s="199">
        <v>1.62</v>
      </c>
      <c r="M1712" s="199">
        <v>2.4500000000000002</v>
      </c>
    </row>
    <row r="1713" spans="1:13" ht="15" customHeight="1" x14ac:dyDescent="0.25">
      <c r="A1713" s="49">
        <v>1999</v>
      </c>
      <c r="B1713" s="330" t="s">
        <v>49</v>
      </c>
      <c r="C1713" s="331">
        <v>640299273</v>
      </c>
      <c r="D1713" s="331">
        <v>370678332</v>
      </c>
      <c r="E1713" s="331">
        <v>6148033</v>
      </c>
      <c r="F1713" s="331">
        <v>3220</v>
      </c>
      <c r="G1713" s="370">
        <f t="shared" si="78"/>
        <v>5.0288984163816159E-6</v>
      </c>
      <c r="H1713" s="370">
        <f t="shared" si="79"/>
        <v>8.6867769762166735E-6</v>
      </c>
      <c r="I1713" s="331">
        <v>51786</v>
      </c>
      <c r="J1713" s="331">
        <v>0</v>
      </c>
      <c r="K1713" s="331">
        <f t="shared" si="80"/>
        <v>51786</v>
      </c>
      <c r="L1713" s="199">
        <v>1.59</v>
      </c>
      <c r="M1713" s="199">
        <v>2.4500000000000002</v>
      </c>
    </row>
    <row r="1714" spans="1:13" ht="15" customHeight="1" x14ac:dyDescent="0.25">
      <c r="A1714" s="49">
        <v>2000</v>
      </c>
      <c r="B1714" s="330" t="s">
        <v>49</v>
      </c>
      <c r="C1714" s="331">
        <v>726142677</v>
      </c>
      <c r="D1714" s="331">
        <v>421590583</v>
      </c>
      <c r="E1714" s="331">
        <v>10727998</v>
      </c>
      <c r="F1714" s="331">
        <v>2367</v>
      </c>
      <c r="G1714" s="370">
        <f t="shared" si="78"/>
        <v>3.2596899686148044E-6</v>
      </c>
      <c r="H1714" s="370">
        <f t="shared" si="79"/>
        <v>5.6144517820029197E-6</v>
      </c>
      <c r="I1714" s="331">
        <v>58671</v>
      </c>
      <c r="J1714" s="331">
        <v>0</v>
      </c>
      <c r="K1714" s="331">
        <f t="shared" si="80"/>
        <v>58671</v>
      </c>
      <c r="L1714" s="199">
        <v>2.54</v>
      </c>
      <c r="M1714" s="199">
        <v>2.4500000000000002</v>
      </c>
    </row>
    <row r="1715" spans="1:13" ht="15" customHeight="1" x14ac:dyDescent="0.25">
      <c r="A1715" s="49">
        <v>2001</v>
      </c>
      <c r="B1715" s="330" t="s">
        <v>49</v>
      </c>
      <c r="C1715" s="331">
        <v>863709317</v>
      </c>
      <c r="D1715" s="331">
        <v>486569102</v>
      </c>
      <c r="E1715" s="331">
        <v>12920994</v>
      </c>
      <c r="F1715" s="331">
        <v>5758</v>
      </c>
      <c r="G1715" s="370">
        <f t="shared" si="78"/>
        <v>6.6665947520397075E-6</v>
      </c>
      <c r="H1715" s="370">
        <f t="shared" si="79"/>
        <v>1.1833879250310473E-5</v>
      </c>
      <c r="I1715" s="331">
        <v>64119</v>
      </c>
      <c r="J1715" s="331">
        <v>0</v>
      </c>
      <c r="K1715" s="331">
        <f t="shared" si="80"/>
        <v>64119</v>
      </c>
      <c r="L1715" s="199">
        <v>2.65</v>
      </c>
      <c r="M1715" s="199">
        <v>2.4500000000000002</v>
      </c>
    </row>
    <row r="1716" spans="1:13" x14ac:dyDescent="0.25">
      <c r="A1716" s="49">
        <v>2002</v>
      </c>
      <c r="B1716" s="330" t="s">
        <v>49</v>
      </c>
      <c r="C1716" s="331">
        <v>821650419</v>
      </c>
      <c r="D1716" s="331">
        <v>477726133</v>
      </c>
      <c r="E1716" s="331">
        <v>1302799</v>
      </c>
      <c r="F1716" s="331">
        <v>19003</v>
      </c>
      <c r="G1716" s="370">
        <f t="shared" si="78"/>
        <v>2.3127840697906344E-5</v>
      </c>
      <c r="H1716" s="370">
        <f t="shared" si="79"/>
        <v>3.9778020684499589E-5</v>
      </c>
      <c r="I1716" s="331">
        <v>52566</v>
      </c>
      <c r="J1716" s="331">
        <v>0</v>
      </c>
      <c r="K1716" s="331">
        <f t="shared" si="80"/>
        <v>52566</v>
      </c>
      <c r="L1716" s="199">
        <v>0.27</v>
      </c>
      <c r="M1716" s="199">
        <v>2.5</v>
      </c>
    </row>
    <row r="1717" spans="1:13" ht="15" customHeight="1" x14ac:dyDescent="0.25">
      <c r="A1717" s="49">
        <v>2003</v>
      </c>
      <c r="B1717" s="330" t="s">
        <v>49</v>
      </c>
      <c r="C1717" s="331">
        <v>785068337</v>
      </c>
      <c r="D1717" s="331">
        <v>454722576</v>
      </c>
      <c r="E1717" s="331">
        <v>904757</v>
      </c>
      <c r="F1717" s="331">
        <v>16382</v>
      </c>
      <c r="G1717" s="370">
        <f t="shared" si="78"/>
        <v>2.086697326579355E-5</v>
      </c>
      <c r="H1717" s="370">
        <f t="shared" si="79"/>
        <v>3.6026361708506859E-5</v>
      </c>
      <c r="I1717" s="331">
        <v>36462</v>
      </c>
      <c r="J1717" s="331">
        <v>0</v>
      </c>
      <c r="K1717" s="331">
        <f t="shared" si="80"/>
        <v>36462</v>
      </c>
      <c r="L1717" s="199">
        <v>0.2</v>
      </c>
      <c r="M1717" s="199">
        <v>2.5</v>
      </c>
    </row>
    <row r="1718" spans="1:13" ht="15" customHeight="1" x14ac:dyDescent="0.25">
      <c r="A1718" s="49">
        <v>2004</v>
      </c>
      <c r="B1718" s="330" t="s">
        <v>49</v>
      </c>
      <c r="C1718" s="331">
        <v>880909221</v>
      </c>
      <c r="D1718" s="331">
        <v>499228606</v>
      </c>
      <c r="E1718" s="331">
        <v>968334</v>
      </c>
      <c r="F1718" s="331">
        <v>4076</v>
      </c>
      <c r="G1718" s="370">
        <f t="shared" si="78"/>
        <v>4.6270375003828004E-6</v>
      </c>
      <c r="H1718" s="370">
        <f t="shared" si="79"/>
        <v>8.1645962411056233E-6</v>
      </c>
      <c r="I1718" s="331">
        <v>36012</v>
      </c>
      <c r="J1718" s="331">
        <v>0</v>
      </c>
      <c r="K1718" s="331">
        <f t="shared" si="80"/>
        <v>36012</v>
      </c>
      <c r="L1718" s="199">
        <v>0.2</v>
      </c>
      <c r="M1718" s="199">
        <v>2.5</v>
      </c>
    </row>
    <row r="1719" spans="1:13" ht="15" customHeight="1" x14ac:dyDescent="0.25">
      <c r="A1719" s="49">
        <v>2005</v>
      </c>
      <c r="B1719" s="330" t="s">
        <v>49</v>
      </c>
      <c r="C1719" s="331">
        <v>986659894</v>
      </c>
      <c r="D1719" s="331">
        <v>555469583</v>
      </c>
      <c r="E1719" s="331">
        <v>1742974</v>
      </c>
      <c r="F1719" s="331">
        <v>5667</v>
      </c>
      <c r="G1719" s="370">
        <f t="shared" si="78"/>
        <v>5.7436205063788677E-6</v>
      </c>
      <c r="H1719" s="370">
        <f t="shared" si="79"/>
        <v>1.0202178793289569E-5</v>
      </c>
      <c r="I1719" s="331">
        <v>32277</v>
      </c>
      <c r="J1719" s="331">
        <v>0</v>
      </c>
      <c r="K1719" s="331">
        <f t="shared" si="80"/>
        <v>32277</v>
      </c>
      <c r="L1719" s="199">
        <v>0.31</v>
      </c>
      <c r="M1719" s="199">
        <v>2.5</v>
      </c>
    </row>
    <row r="1720" spans="1:13" ht="15" customHeight="1" x14ac:dyDescent="0.25">
      <c r="A1720" s="49">
        <v>2006</v>
      </c>
      <c r="B1720" s="330" t="s">
        <v>49</v>
      </c>
      <c r="C1720" s="331">
        <v>1030099975</v>
      </c>
      <c r="D1720" s="331">
        <v>587061184</v>
      </c>
      <c r="E1720" s="331">
        <v>1640681</v>
      </c>
      <c r="F1720" s="331">
        <v>4968</v>
      </c>
      <c r="G1720" s="370">
        <f t="shared" si="78"/>
        <v>4.8228328517336386E-6</v>
      </c>
      <c r="H1720" s="370">
        <f t="shared" si="79"/>
        <v>8.4624910237635477E-6</v>
      </c>
      <c r="I1720" s="331">
        <v>29396</v>
      </c>
      <c r="J1720" s="331">
        <v>0</v>
      </c>
      <c r="K1720" s="331">
        <f t="shared" si="80"/>
        <v>29396</v>
      </c>
      <c r="L1720" s="199">
        <v>0.28000000000000003</v>
      </c>
      <c r="M1720" s="199">
        <v>2.5</v>
      </c>
    </row>
    <row r="1721" spans="1:13" ht="15" customHeight="1" x14ac:dyDescent="0.25">
      <c r="A1721" s="49">
        <v>2007</v>
      </c>
      <c r="B1721" s="330" t="s">
        <v>49</v>
      </c>
      <c r="C1721" s="331">
        <v>1110200735</v>
      </c>
      <c r="D1721" s="331">
        <v>614657549</v>
      </c>
      <c r="E1721" s="331">
        <v>1227975</v>
      </c>
      <c r="F1721" s="331">
        <v>8791</v>
      </c>
      <c r="G1721" s="370">
        <f t="shared" si="78"/>
        <v>7.918387840015257E-6</v>
      </c>
      <c r="H1721" s="370">
        <f t="shared" si="79"/>
        <v>1.4302272890493695E-5</v>
      </c>
      <c r="I1721" s="331">
        <v>22287</v>
      </c>
      <c r="J1721" s="331">
        <v>0</v>
      </c>
      <c r="K1721" s="331">
        <f t="shared" si="80"/>
        <v>22287</v>
      </c>
      <c r="L1721" s="199">
        <v>0.2</v>
      </c>
      <c r="M1721" s="199">
        <v>2.5</v>
      </c>
    </row>
    <row r="1722" spans="1:13" ht="15" customHeight="1" x14ac:dyDescent="0.25">
      <c r="A1722" s="49">
        <v>2008</v>
      </c>
      <c r="B1722" s="330" t="s">
        <v>49</v>
      </c>
      <c r="C1722" s="331">
        <v>1111636369</v>
      </c>
      <c r="D1722" s="331">
        <v>632367178</v>
      </c>
      <c r="E1722" s="331">
        <v>978630</v>
      </c>
      <c r="F1722" s="331">
        <v>12388</v>
      </c>
      <c r="G1722" s="370">
        <f t="shared" si="78"/>
        <v>1.1143931905667976E-5</v>
      </c>
      <c r="H1722" s="370">
        <f t="shared" si="79"/>
        <v>1.9589884533823795E-5</v>
      </c>
      <c r="I1722" s="331">
        <v>11499</v>
      </c>
      <c r="J1722" s="331">
        <v>0</v>
      </c>
      <c r="K1722" s="331">
        <f t="shared" si="80"/>
        <v>11499</v>
      </c>
      <c r="L1722" s="199">
        <v>0.2</v>
      </c>
      <c r="M1722" s="199">
        <v>2.5</v>
      </c>
    </row>
    <row r="1723" spans="1:13" ht="15" customHeight="1" x14ac:dyDescent="0.25">
      <c r="A1723" s="49">
        <v>2009</v>
      </c>
      <c r="B1723" s="330" t="s">
        <v>49</v>
      </c>
      <c r="C1723" s="331">
        <v>1035697322</v>
      </c>
      <c r="D1723" s="331">
        <v>588603460</v>
      </c>
      <c r="E1723" s="331">
        <v>866789</v>
      </c>
      <c r="F1723" s="331">
        <v>19326</v>
      </c>
      <c r="G1723" s="370">
        <f t="shared" si="78"/>
        <v>1.865989183276077E-5</v>
      </c>
      <c r="H1723" s="370">
        <f t="shared" si="79"/>
        <v>3.2833650009464774E-5</v>
      </c>
      <c r="I1723" s="331">
        <v>809</v>
      </c>
      <c r="J1723" s="331">
        <v>8387</v>
      </c>
      <c r="K1723" s="331">
        <f t="shared" si="80"/>
        <v>-7578</v>
      </c>
      <c r="L1723" s="199">
        <v>0.1</v>
      </c>
      <c r="M1723" s="199">
        <v>2.44</v>
      </c>
    </row>
    <row r="1724" spans="1:13" ht="15" customHeight="1" x14ac:dyDescent="0.25">
      <c r="A1724" s="49">
        <v>2010</v>
      </c>
      <c r="B1724" s="330" t="s">
        <v>49</v>
      </c>
      <c r="C1724" s="331">
        <v>1089014575</v>
      </c>
      <c r="D1724" s="331">
        <v>622426432</v>
      </c>
      <c r="E1724" s="331">
        <v>1444805</v>
      </c>
      <c r="F1724" s="331">
        <v>11953</v>
      </c>
      <c r="G1724" s="370">
        <f t="shared" si="78"/>
        <v>1.0975977984500345E-5</v>
      </c>
      <c r="H1724" s="370">
        <f t="shared" si="79"/>
        <v>1.9203875969071956E-5</v>
      </c>
      <c r="I1724" s="331">
        <v>194</v>
      </c>
      <c r="J1724" s="331">
        <v>17389</v>
      </c>
      <c r="K1724" s="331">
        <f t="shared" si="80"/>
        <v>-17195</v>
      </c>
      <c r="L1724" s="199">
        <v>0.2</v>
      </c>
      <c r="M1724" s="199">
        <v>2.44</v>
      </c>
    </row>
    <row r="1725" spans="1:13" ht="15" customHeight="1" x14ac:dyDescent="0.25">
      <c r="A1725" s="49">
        <v>2011</v>
      </c>
      <c r="B1725" s="330" t="s">
        <v>49</v>
      </c>
      <c r="C1725" s="331">
        <v>1086715581</v>
      </c>
      <c r="D1725" s="331">
        <v>615258485</v>
      </c>
      <c r="E1725" s="331">
        <v>2541823</v>
      </c>
      <c r="F1725" s="331">
        <v>13646</v>
      </c>
      <c r="G1725" s="370">
        <f t="shared" si="78"/>
        <v>1.2557103476369499E-5</v>
      </c>
      <c r="H1725" s="370">
        <f t="shared" si="79"/>
        <v>2.2179295910075908E-5</v>
      </c>
      <c r="I1725" s="331">
        <v>905</v>
      </c>
      <c r="J1725" s="331">
        <v>30800</v>
      </c>
      <c r="K1725" s="331">
        <f t="shared" si="80"/>
        <v>-29895</v>
      </c>
      <c r="L1725" s="199">
        <v>0.4</v>
      </c>
      <c r="M1725" s="199">
        <v>2.44</v>
      </c>
    </row>
    <row r="1726" spans="1:13" ht="15" customHeight="1" x14ac:dyDescent="0.25">
      <c r="A1726" s="49">
        <v>2012</v>
      </c>
      <c r="B1726" s="330" t="s">
        <v>49</v>
      </c>
      <c r="C1726" s="331">
        <v>1036519199</v>
      </c>
      <c r="D1726" s="331">
        <v>601904325</v>
      </c>
      <c r="E1726" s="331">
        <v>3436856</v>
      </c>
      <c r="F1726" s="331">
        <v>20722</v>
      </c>
      <c r="G1726" s="370">
        <f t="shared" si="78"/>
        <v>1.9991911408869137E-5</v>
      </c>
      <c r="H1726" s="370">
        <f t="shared" si="79"/>
        <v>3.4427398407545914E-5</v>
      </c>
      <c r="I1726" s="331">
        <v>4144</v>
      </c>
      <c r="J1726" s="331">
        <v>54743</v>
      </c>
      <c r="K1726" s="331">
        <f t="shared" si="80"/>
        <v>-50599</v>
      </c>
      <c r="L1726" s="199">
        <v>0.56999999999999995</v>
      </c>
      <c r="M1726" s="199">
        <v>2.44</v>
      </c>
    </row>
    <row r="1727" spans="1:13" ht="15" customHeight="1" x14ac:dyDescent="0.25">
      <c r="A1727" s="49">
        <v>2013</v>
      </c>
      <c r="B1727" s="330" t="s">
        <v>49</v>
      </c>
      <c r="C1727" s="331">
        <v>915520212</v>
      </c>
      <c r="D1727" s="331">
        <v>550896517</v>
      </c>
      <c r="E1727" s="331">
        <v>8635524</v>
      </c>
      <c r="F1727" s="331">
        <v>14382</v>
      </c>
      <c r="G1727" s="370">
        <f t="shared" si="78"/>
        <v>1.5709101570332126E-5</v>
      </c>
      <c r="H1727" s="370">
        <f t="shared" si="79"/>
        <v>2.6106536447751767E-5</v>
      </c>
      <c r="I1727" s="331">
        <v>12362</v>
      </c>
      <c r="J1727" s="331">
        <v>82344</v>
      </c>
      <c r="K1727" s="331">
        <f t="shared" si="80"/>
        <v>-69982</v>
      </c>
      <c r="L1727" s="199">
        <v>1.57</v>
      </c>
      <c r="M1727" s="199">
        <v>2.44</v>
      </c>
    </row>
    <row r="1728" spans="1:13" ht="15" customHeight="1" x14ac:dyDescent="0.25">
      <c r="A1728" s="49">
        <v>2014</v>
      </c>
      <c r="B1728" s="330" t="s">
        <v>49</v>
      </c>
      <c r="C1728" s="331">
        <v>908592862</v>
      </c>
      <c r="D1728" s="331">
        <v>521468506</v>
      </c>
      <c r="E1728" s="331">
        <v>8159482</v>
      </c>
      <c r="F1728" s="331">
        <v>10738</v>
      </c>
      <c r="G1728" s="370">
        <f t="shared" si="78"/>
        <v>1.1818274663047044E-5</v>
      </c>
      <c r="H1728" s="370">
        <f t="shared" si="79"/>
        <v>2.0591847592805539E-5</v>
      </c>
      <c r="I1728" s="331">
        <v>-39419</v>
      </c>
      <c r="J1728" s="331">
        <v>76890</v>
      </c>
      <c r="K1728" s="331">
        <f t="shared" si="80"/>
        <v>-116309</v>
      </c>
      <c r="L1728" s="333">
        <v>1.564712327996276</v>
      </c>
      <c r="M1728" s="199">
        <v>2.44</v>
      </c>
    </row>
    <row r="1729" spans="1:13" ht="15" customHeight="1" x14ac:dyDescent="0.25">
      <c r="A1729" s="49">
        <v>2015</v>
      </c>
      <c r="B1729" s="330" t="s">
        <v>49</v>
      </c>
      <c r="C1729" s="334">
        <v>910566000</v>
      </c>
      <c r="D1729" s="334">
        <v>540708000</v>
      </c>
      <c r="E1729" s="334">
        <v>7883000</v>
      </c>
      <c r="F1729" s="331">
        <v>9868</v>
      </c>
      <c r="G1729" s="370">
        <f t="shared" si="78"/>
        <v>1.083721553407441E-5</v>
      </c>
      <c r="H1729" s="370">
        <f t="shared" si="79"/>
        <v>1.8250146104736751E-5</v>
      </c>
      <c r="I1729" s="331">
        <v>2478</v>
      </c>
      <c r="J1729" s="331">
        <v>72145</v>
      </c>
      <c r="K1729" s="331">
        <f t="shared" si="80"/>
        <v>-69667</v>
      </c>
      <c r="L1729" s="199">
        <v>1.6</v>
      </c>
      <c r="M1729" s="199">
        <v>2.4300000000000002</v>
      </c>
    </row>
    <row r="1730" spans="1:13" ht="15" customHeight="1" x14ac:dyDescent="0.25">
      <c r="A1730" s="49">
        <v>1980</v>
      </c>
      <c r="B1730" s="330" t="s">
        <v>50</v>
      </c>
      <c r="C1730" s="331">
        <v>1767395403</v>
      </c>
      <c r="D1730" s="331">
        <v>875934085</v>
      </c>
      <c r="E1730" s="331">
        <v>27018684</v>
      </c>
      <c r="F1730" s="331">
        <v>28074</v>
      </c>
      <c r="G1730" s="370">
        <f t="shared" ref="G1730:G1793" si="81">F1730/C1730</f>
        <v>1.5884391207732478E-5</v>
      </c>
      <c r="H1730" s="370">
        <f t="shared" ref="H1730:H1793" si="82">F1730/D1730</f>
        <v>3.2050356848483637E-5</v>
      </c>
      <c r="I1730" s="331">
        <v>18262</v>
      </c>
      <c r="J1730" s="331">
        <v>40739</v>
      </c>
      <c r="K1730" s="331">
        <f t="shared" ref="K1730:K1793" si="83">I1730-J1730</f>
        <v>-22477</v>
      </c>
      <c r="L1730" s="199">
        <v>3.08</v>
      </c>
      <c r="M1730" s="199">
        <v>2.5</v>
      </c>
    </row>
    <row r="1731" spans="1:13" ht="15" customHeight="1" x14ac:dyDescent="0.25">
      <c r="A1731" s="49">
        <v>1981</v>
      </c>
      <c r="B1731" s="330" t="s">
        <v>50</v>
      </c>
      <c r="C1731" s="331">
        <v>1957825391</v>
      </c>
      <c r="D1731" s="331">
        <v>918177026</v>
      </c>
      <c r="E1731" s="331">
        <v>28116334</v>
      </c>
      <c r="F1731" s="331">
        <v>27108</v>
      </c>
      <c r="G1731" s="370">
        <f t="shared" si="81"/>
        <v>1.3845974275649795E-5</v>
      </c>
      <c r="H1731" s="370">
        <f t="shared" si="82"/>
        <v>2.9523718446860813E-5</v>
      </c>
      <c r="I1731" s="331">
        <v>19060</v>
      </c>
      <c r="J1731" s="331">
        <v>36152</v>
      </c>
      <c r="K1731" s="331">
        <f t="shared" si="83"/>
        <v>-17092</v>
      </c>
      <c r="L1731" s="199">
        <v>3.06</v>
      </c>
      <c r="M1731" s="199">
        <v>2.5</v>
      </c>
    </row>
    <row r="1732" spans="1:13" ht="15" customHeight="1" x14ac:dyDescent="0.25">
      <c r="A1732" s="49">
        <v>1982</v>
      </c>
      <c r="B1732" s="330" t="s">
        <v>50</v>
      </c>
      <c r="C1732" s="331">
        <v>2087889238</v>
      </c>
      <c r="D1732" s="331">
        <v>911590612</v>
      </c>
      <c r="E1732" s="331">
        <v>27859057</v>
      </c>
      <c r="F1732" s="331">
        <v>42691</v>
      </c>
      <c r="G1732" s="370">
        <f t="shared" si="81"/>
        <v>2.0446965874920613E-5</v>
      </c>
      <c r="H1732" s="370">
        <f t="shared" si="82"/>
        <v>4.6831329149317746E-5</v>
      </c>
      <c r="I1732" s="331">
        <v>4153</v>
      </c>
      <c r="J1732" s="331">
        <v>31032</v>
      </c>
      <c r="K1732" s="331">
        <f t="shared" si="83"/>
        <v>-26879</v>
      </c>
      <c r="L1732" s="199">
        <v>3.06</v>
      </c>
      <c r="M1732" s="199">
        <v>2.5</v>
      </c>
    </row>
    <row r="1733" spans="1:13" ht="15" customHeight="1" x14ac:dyDescent="0.25">
      <c r="A1733" s="49">
        <v>1983</v>
      </c>
      <c r="B1733" s="330" t="s">
        <v>50</v>
      </c>
      <c r="C1733" s="331">
        <v>2228295172</v>
      </c>
      <c r="D1733" s="331">
        <v>1145873162</v>
      </c>
      <c r="E1733" s="331">
        <v>35868627</v>
      </c>
      <c r="F1733" s="331">
        <v>35810</v>
      </c>
      <c r="G1733" s="370">
        <f t="shared" si="81"/>
        <v>1.6070581873522096E-5</v>
      </c>
      <c r="H1733" s="370">
        <f t="shared" si="82"/>
        <v>3.1251277355599678E-5</v>
      </c>
      <c r="I1733" s="331">
        <v>2785</v>
      </c>
      <c r="J1733" s="331">
        <v>25183</v>
      </c>
      <c r="K1733" s="331">
        <f t="shared" si="83"/>
        <v>-22398</v>
      </c>
      <c r="L1733" s="199">
        <v>3.13</v>
      </c>
      <c r="M1733" s="199">
        <v>2.5</v>
      </c>
    </row>
    <row r="1734" spans="1:13" ht="15" customHeight="1" x14ac:dyDescent="0.25">
      <c r="A1734" s="49">
        <v>1984</v>
      </c>
      <c r="B1734" s="330" t="s">
        <v>50</v>
      </c>
      <c r="C1734" s="331">
        <v>2448391732</v>
      </c>
      <c r="D1734" s="331">
        <v>1235046241</v>
      </c>
      <c r="E1734" s="331">
        <v>42361934</v>
      </c>
      <c r="F1734" s="331">
        <v>29914</v>
      </c>
      <c r="G1734" s="370">
        <f t="shared" si="81"/>
        <v>1.2217816131720216E-5</v>
      </c>
      <c r="H1734" s="370">
        <f t="shared" si="82"/>
        <v>2.4220955464614056E-5</v>
      </c>
      <c r="I1734" s="331">
        <v>14336</v>
      </c>
      <c r="J1734" s="331">
        <v>18972</v>
      </c>
      <c r="K1734" s="331">
        <f t="shared" si="83"/>
        <v>-4636</v>
      </c>
      <c r="L1734" s="199">
        <v>3.43</v>
      </c>
      <c r="M1734" s="199">
        <v>2.5</v>
      </c>
    </row>
    <row r="1735" spans="1:13" ht="15" customHeight="1" x14ac:dyDescent="0.25">
      <c r="A1735" s="49">
        <v>1985</v>
      </c>
      <c r="B1735" s="330" t="s">
        <v>50</v>
      </c>
      <c r="C1735" s="331">
        <v>2707733539</v>
      </c>
      <c r="D1735" s="331">
        <v>1316993567</v>
      </c>
      <c r="E1735" s="331">
        <v>53482194</v>
      </c>
      <c r="F1735" s="331">
        <v>30477</v>
      </c>
      <c r="G1735" s="370">
        <f t="shared" si="81"/>
        <v>1.1255538833874893E-5</v>
      </c>
      <c r="H1735" s="370">
        <f t="shared" si="82"/>
        <v>2.314134310422186E-5</v>
      </c>
      <c r="I1735" s="331">
        <v>41089</v>
      </c>
      <c r="J1735" s="331">
        <v>12202</v>
      </c>
      <c r="K1735" s="331">
        <f t="shared" si="83"/>
        <v>28887</v>
      </c>
      <c r="L1735" s="199">
        <v>4.0599999999999996</v>
      </c>
      <c r="M1735" s="199">
        <v>2.5</v>
      </c>
    </row>
    <row r="1736" spans="1:13" ht="15" customHeight="1" x14ac:dyDescent="0.25">
      <c r="A1736" s="49">
        <v>1986</v>
      </c>
      <c r="B1736" s="330" t="s">
        <v>50</v>
      </c>
      <c r="C1736" s="331">
        <v>2977303531</v>
      </c>
      <c r="D1736" s="331">
        <v>1397249831</v>
      </c>
      <c r="E1736" s="331">
        <v>55631588</v>
      </c>
      <c r="F1736" s="331">
        <v>27043</v>
      </c>
      <c r="G1736" s="370">
        <f t="shared" si="81"/>
        <v>9.0830510622868698E-6</v>
      </c>
      <c r="H1736" s="370">
        <f t="shared" si="82"/>
        <v>1.9354448574630028E-5</v>
      </c>
      <c r="I1736" s="331">
        <v>72733</v>
      </c>
      <c r="J1736" s="331">
        <v>0</v>
      </c>
      <c r="K1736" s="331">
        <f t="shared" si="83"/>
        <v>72733</v>
      </c>
      <c r="L1736" s="199">
        <v>3.98</v>
      </c>
      <c r="M1736" s="199">
        <v>2.5</v>
      </c>
    </row>
    <row r="1737" spans="1:13" ht="15" customHeight="1" x14ac:dyDescent="0.25">
      <c r="A1737" s="49">
        <v>1987</v>
      </c>
      <c r="B1737" s="330" t="s">
        <v>50</v>
      </c>
      <c r="C1737" s="331">
        <v>3278109270</v>
      </c>
      <c r="D1737" s="331">
        <v>1493242470</v>
      </c>
      <c r="E1737" s="331">
        <v>58378017</v>
      </c>
      <c r="F1737" s="331">
        <v>23643</v>
      </c>
      <c r="G1737" s="370">
        <f t="shared" si="81"/>
        <v>7.2123892319184346E-6</v>
      </c>
      <c r="H1737" s="370">
        <f t="shared" si="82"/>
        <v>1.5833329465910516E-5</v>
      </c>
      <c r="I1737" s="331">
        <v>116929</v>
      </c>
      <c r="J1737" s="331">
        <v>0</v>
      </c>
      <c r="K1737" s="331">
        <f t="shared" si="83"/>
        <v>116929</v>
      </c>
      <c r="L1737" s="199">
        <v>3.91</v>
      </c>
      <c r="M1737" s="199">
        <v>2.5</v>
      </c>
    </row>
    <row r="1738" spans="1:13" ht="15" customHeight="1" x14ac:dyDescent="0.25">
      <c r="A1738" s="49">
        <v>1988</v>
      </c>
      <c r="B1738" s="330" t="s">
        <v>50</v>
      </c>
      <c r="C1738" s="331">
        <v>3584885331</v>
      </c>
      <c r="D1738" s="331">
        <v>1572901039</v>
      </c>
      <c r="E1738" s="331">
        <v>50444384</v>
      </c>
      <c r="F1738" s="331">
        <v>22747</v>
      </c>
      <c r="G1738" s="370">
        <f t="shared" si="81"/>
        <v>6.3452517722944151E-6</v>
      </c>
      <c r="H1738" s="370">
        <f t="shared" si="82"/>
        <v>1.4461812559079884E-5</v>
      </c>
      <c r="I1738" s="331">
        <v>160087</v>
      </c>
      <c r="J1738" s="331">
        <v>0</v>
      </c>
      <c r="K1738" s="331">
        <f t="shared" si="83"/>
        <v>160087</v>
      </c>
      <c r="L1738" s="199">
        <v>3.21</v>
      </c>
      <c r="M1738" s="199">
        <v>2.5</v>
      </c>
    </row>
    <row r="1739" spans="1:13" ht="15" customHeight="1" x14ac:dyDescent="0.25">
      <c r="A1739" s="49">
        <v>1989</v>
      </c>
      <c r="B1739" s="330" t="s">
        <v>50</v>
      </c>
      <c r="C1739" s="331">
        <v>3807092573</v>
      </c>
      <c r="D1739" s="331">
        <v>1609824670</v>
      </c>
      <c r="E1739" s="331">
        <v>45865297</v>
      </c>
      <c r="F1739" s="331">
        <v>27718</v>
      </c>
      <c r="G1739" s="370">
        <f t="shared" si="81"/>
        <v>7.2806214896314264E-6</v>
      </c>
      <c r="H1739" s="370">
        <f t="shared" si="82"/>
        <v>1.7218024121844276E-5</v>
      </c>
      <c r="I1739" s="331">
        <v>196931</v>
      </c>
      <c r="J1739" s="331">
        <v>0</v>
      </c>
      <c r="K1739" s="331">
        <f t="shared" si="83"/>
        <v>196931</v>
      </c>
      <c r="L1739" s="199">
        <v>2.85</v>
      </c>
      <c r="M1739" s="199">
        <v>2.5</v>
      </c>
    </row>
    <row r="1740" spans="1:13" ht="15" customHeight="1" x14ac:dyDescent="0.25">
      <c r="A1740" s="49">
        <v>1990</v>
      </c>
      <c r="B1740" s="330" t="s">
        <v>50</v>
      </c>
      <c r="C1740" s="331">
        <v>3868421062</v>
      </c>
      <c r="D1740" s="331">
        <v>1563040165</v>
      </c>
      <c r="E1740" s="331">
        <v>44145388</v>
      </c>
      <c r="F1740" s="331">
        <v>49450</v>
      </c>
      <c r="G1740" s="370">
        <f t="shared" si="81"/>
        <v>1.2782993166321459E-5</v>
      </c>
      <c r="H1740" s="370">
        <f t="shared" si="82"/>
        <v>3.1637062890191307E-5</v>
      </c>
      <c r="I1740" s="331">
        <v>209442</v>
      </c>
      <c r="J1740" s="331">
        <v>0</v>
      </c>
      <c r="K1740" s="331">
        <f t="shared" si="83"/>
        <v>209442</v>
      </c>
      <c r="L1740" s="199">
        <v>2.82</v>
      </c>
      <c r="M1740" s="199">
        <v>2.5</v>
      </c>
    </row>
    <row r="1741" spans="1:13" ht="15" customHeight="1" x14ac:dyDescent="0.25">
      <c r="A1741" s="49">
        <v>1991</v>
      </c>
      <c r="B1741" s="330" t="s">
        <v>50</v>
      </c>
      <c r="C1741" s="331">
        <v>3816237294</v>
      </c>
      <c r="D1741" s="331">
        <v>1486386234</v>
      </c>
      <c r="E1741" s="331">
        <v>36605404</v>
      </c>
      <c r="F1741" s="331">
        <v>69135</v>
      </c>
      <c r="G1741" s="370">
        <f t="shared" si="81"/>
        <v>1.8116011839383278E-5</v>
      </c>
      <c r="H1741" s="370">
        <f t="shared" si="82"/>
        <v>4.6512136898598324E-5</v>
      </c>
      <c r="I1741" s="331">
        <v>192675</v>
      </c>
      <c r="J1741" s="331">
        <v>0</v>
      </c>
      <c r="K1741" s="331">
        <f t="shared" si="83"/>
        <v>192675</v>
      </c>
      <c r="L1741" s="199">
        <v>2.46</v>
      </c>
      <c r="M1741" s="199">
        <v>2.5</v>
      </c>
    </row>
    <row r="1742" spans="1:13" ht="15" customHeight="1" x14ac:dyDescent="0.25">
      <c r="A1742" s="49">
        <v>1992</v>
      </c>
      <c r="B1742" s="330" t="s">
        <v>50</v>
      </c>
      <c r="C1742" s="331">
        <v>4022857973</v>
      </c>
      <c r="D1742" s="331">
        <v>1518783235</v>
      </c>
      <c r="E1742" s="331">
        <v>37811815</v>
      </c>
      <c r="F1742" s="331">
        <v>61797</v>
      </c>
      <c r="G1742" s="370">
        <f t="shared" si="81"/>
        <v>1.5361467000515455E-5</v>
      </c>
      <c r="H1742" s="370">
        <f t="shared" si="82"/>
        <v>4.0688492324581128E-5</v>
      </c>
      <c r="I1742" s="331">
        <v>180730</v>
      </c>
      <c r="J1742" s="331">
        <v>0</v>
      </c>
      <c r="K1742" s="331">
        <f t="shared" si="83"/>
        <v>180730</v>
      </c>
      <c r="L1742" s="199">
        <v>2.4900000000000002</v>
      </c>
      <c r="M1742" s="199">
        <v>2.5</v>
      </c>
    </row>
    <row r="1743" spans="1:13" ht="15" customHeight="1" x14ac:dyDescent="0.25">
      <c r="A1743" s="49">
        <v>1993</v>
      </c>
      <c r="B1743" s="330" t="s">
        <v>50</v>
      </c>
      <c r="C1743" s="331">
        <v>4185027841</v>
      </c>
      <c r="D1743" s="331">
        <v>1565436818</v>
      </c>
      <c r="E1743" s="331">
        <v>41977801</v>
      </c>
      <c r="F1743" s="331">
        <v>51812</v>
      </c>
      <c r="G1743" s="370">
        <f t="shared" si="81"/>
        <v>1.2380323851709354E-5</v>
      </c>
      <c r="H1743" s="370">
        <f t="shared" si="82"/>
        <v>3.3097471200527237E-5</v>
      </c>
      <c r="I1743" s="331">
        <v>183025</v>
      </c>
      <c r="J1743" s="331">
        <v>0</v>
      </c>
      <c r="K1743" s="331">
        <f t="shared" si="83"/>
        <v>183025</v>
      </c>
      <c r="L1743" s="199">
        <v>2.68</v>
      </c>
      <c r="M1743" s="199">
        <v>2.5</v>
      </c>
    </row>
    <row r="1744" spans="1:13" ht="15" customHeight="1" x14ac:dyDescent="0.25">
      <c r="A1744" s="49">
        <v>1994</v>
      </c>
      <c r="B1744" s="330" t="s">
        <v>50</v>
      </c>
      <c r="C1744" s="331">
        <v>4349572868</v>
      </c>
      <c r="D1744" s="331">
        <v>1610620332</v>
      </c>
      <c r="E1744" s="331">
        <v>47639081</v>
      </c>
      <c r="F1744" s="331">
        <v>50421</v>
      </c>
      <c r="G1744" s="370">
        <f t="shared" si="81"/>
        <v>1.159217273285603E-5</v>
      </c>
      <c r="H1744" s="370">
        <f t="shared" si="82"/>
        <v>3.1305329380381869E-5</v>
      </c>
      <c r="I1744" s="331">
        <v>195418</v>
      </c>
      <c r="J1744" s="331">
        <v>0</v>
      </c>
      <c r="K1744" s="331">
        <f t="shared" si="83"/>
        <v>195418</v>
      </c>
      <c r="L1744" s="199">
        <v>2.96</v>
      </c>
      <c r="M1744" s="199">
        <v>2.5</v>
      </c>
    </row>
    <row r="1745" spans="1:13" ht="15" customHeight="1" x14ac:dyDescent="0.25">
      <c r="A1745" s="49">
        <v>1995</v>
      </c>
      <c r="B1745" s="330" t="s">
        <v>50</v>
      </c>
      <c r="C1745" s="331">
        <v>4584754327</v>
      </c>
      <c r="D1745" s="331">
        <v>1670631262</v>
      </c>
      <c r="E1745" s="331">
        <v>43634342</v>
      </c>
      <c r="F1745" s="331">
        <v>46725</v>
      </c>
      <c r="G1745" s="370">
        <f t="shared" si="81"/>
        <v>1.0191385768444034E-5</v>
      </c>
      <c r="H1745" s="370">
        <f t="shared" si="82"/>
        <v>2.7968469801087681E-5</v>
      </c>
      <c r="I1745" s="331">
        <v>206720</v>
      </c>
      <c r="J1745" s="331">
        <v>0</v>
      </c>
      <c r="K1745" s="331">
        <f t="shared" si="83"/>
        <v>206720</v>
      </c>
      <c r="L1745" s="199">
        <v>2.61</v>
      </c>
      <c r="M1745" s="199">
        <v>2.0699999999999998</v>
      </c>
    </row>
    <row r="1746" spans="1:13" ht="15" customHeight="1" x14ac:dyDescent="0.25">
      <c r="A1746" s="49">
        <v>1996</v>
      </c>
      <c r="B1746" s="330" t="s">
        <v>50</v>
      </c>
      <c r="C1746" s="331">
        <v>4866351455</v>
      </c>
      <c r="D1746" s="331">
        <v>1707719850</v>
      </c>
      <c r="E1746" s="331">
        <v>44411404</v>
      </c>
      <c r="F1746" s="331">
        <v>47962</v>
      </c>
      <c r="G1746" s="370">
        <f t="shared" si="81"/>
        <v>9.8558438377320197E-6</v>
      </c>
      <c r="H1746" s="370">
        <f t="shared" si="82"/>
        <v>2.8085402883851236E-5</v>
      </c>
      <c r="I1746" s="331">
        <v>218259</v>
      </c>
      <c r="J1746" s="331">
        <v>0</v>
      </c>
      <c r="K1746" s="331">
        <f t="shared" si="83"/>
        <v>218259</v>
      </c>
      <c r="L1746" s="199">
        <v>2.6</v>
      </c>
      <c r="M1746" s="199">
        <v>1.95</v>
      </c>
    </row>
    <row r="1747" spans="1:13" ht="15" customHeight="1" x14ac:dyDescent="0.25">
      <c r="A1747" s="49">
        <v>1997</v>
      </c>
      <c r="B1747" s="330" t="s">
        <v>50</v>
      </c>
      <c r="C1747" s="331">
        <v>5150837824</v>
      </c>
      <c r="D1747" s="331">
        <v>1772973490</v>
      </c>
      <c r="E1747" s="331">
        <v>45720643</v>
      </c>
      <c r="F1747" s="331">
        <v>45636</v>
      </c>
      <c r="G1747" s="370">
        <f t="shared" si="81"/>
        <v>8.8599178540162862E-6</v>
      </c>
      <c r="H1747" s="370">
        <f t="shared" si="82"/>
        <v>2.5739809567034191E-5</v>
      </c>
      <c r="I1747" s="331">
        <v>233537</v>
      </c>
      <c r="J1747" s="331">
        <v>0</v>
      </c>
      <c r="K1747" s="331">
        <f t="shared" si="83"/>
        <v>233537</v>
      </c>
      <c r="L1747" s="199">
        <v>2.58</v>
      </c>
      <c r="M1747" s="199">
        <v>1.89</v>
      </c>
    </row>
    <row r="1748" spans="1:13" ht="15" customHeight="1" x14ac:dyDescent="0.25">
      <c r="A1748" s="49">
        <v>1998</v>
      </c>
      <c r="B1748" s="330" t="s">
        <v>50</v>
      </c>
      <c r="C1748" s="331">
        <v>5527982794</v>
      </c>
      <c r="D1748" s="331">
        <v>1838402607</v>
      </c>
      <c r="E1748" s="331">
        <v>46986294</v>
      </c>
      <c r="F1748" s="331">
        <v>39512</v>
      </c>
      <c r="G1748" s="370">
        <f t="shared" si="81"/>
        <v>7.1476344034366035E-6</v>
      </c>
      <c r="H1748" s="370">
        <f t="shared" si="82"/>
        <v>2.1492571784630853E-5</v>
      </c>
      <c r="I1748" s="331">
        <v>254839</v>
      </c>
      <c r="J1748" s="331">
        <v>0</v>
      </c>
      <c r="K1748" s="331">
        <f t="shared" si="83"/>
        <v>254839</v>
      </c>
      <c r="L1748" s="199">
        <v>2.56</v>
      </c>
      <c r="M1748" s="199">
        <v>1.89</v>
      </c>
    </row>
    <row r="1749" spans="1:13" ht="15" customHeight="1" x14ac:dyDescent="0.25">
      <c r="A1749" s="49">
        <v>1999</v>
      </c>
      <c r="B1749" s="330" t="s">
        <v>50</v>
      </c>
      <c r="C1749" s="331">
        <v>5880598793</v>
      </c>
      <c r="D1749" s="331">
        <v>1897489638</v>
      </c>
      <c r="E1749" s="331">
        <v>48277741</v>
      </c>
      <c r="F1749" s="331">
        <v>42648</v>
      </c>
      <c r="G1749" s="370">
        <f t="shared" si="81"/>
        <v>7.252322680262809E-6</v>
      </c>
      <c r="H1749" s="370">
        <f t="shared" si="82"/>
        <v>2.2476012066633482E-5</v>
      </c>
      <c r="I1749" s="331">
        <v>278148</v>
      </c>
      <c r="J1749" s="331">
        <v>0</v>
      </c>
      <c r="K1749" s="331">
        <f t="shared" si="83"/>
        <v>278148</v>
      </c>
      <c r="L1749" s="199">
        <v>2.54</v>
      </c>
      <c r="M1749" s="199">
        <v>1.89</v>
      </c>
    </row>
    <row r="1750" spans="1:13" ht="15" customHeight="1" x14ac:dyDescent="0.25">
      <c r="A1750" s="49">
        <v>2000</v>
      </c>
      <c r="B1750" s="330" t="s">
        <v>50</v>
      </c>
      <c r="C1750" s="331">
        <v>6356621220</v>
      </c>
      <c r="D1750" s="331">
        <v>1986915320</v>
      </c>
      <c r="E1750" s="331">
        <v>47927736</v>
      </c>
      <c r="F1750" s="331">
        <v>41723</v>
      </c>
      <c r="G1750" s="370">
        <f t="shared" si="81"/>
        <v>6.5637071261578177E-6</v>
      </c>
      <c r="H1750" s="370">
        <f t="shared" si="82"/>
        <v>2.0998881824515804E-5</v>
      </c>
      <c r="I1750" s="331">
        <v>305443</v>
      </c>
      <c r="J1750" s="331">
        <v>0</v>
      </c>
      <c r="K1750" s="331">
        <f t="shared" si="83"/>
        <v>305443</v>
      </c>
      <c r="L1750" s="199">
        <v>2.41</v>
      </c>
      <c r="M1750" s="199">
        <v>1.89</v>
      </c>
    </row>
    <row r="1751" spans="1:13" x14ac:dyDescent="0.25">
      <c r="A1751" s="49">
        <v>2001</v>
      </c>
      <c r="B1751" s="330" t="s">
        <v>50</v>
      </c>
      <c r="C1751" s="331">
        <v>6644702357</v>
      </c>
      <c r="D1751" s="331">
        <v>1995985287</v>
      </c>
      <c r="E1751" s="331">
        <v>40439992</v>
      </c>
      <c r="F1751" s="331">
        <v>60736</v>
      </c>
      <c r="G1751" s="370">
        <f t="shared" si="81"/>
        <v>9.1405147645200983E-6</v>
      </c>
      <c r="H1751" s="370">
        <f t="shared" si="82"/>
        <v>3.0429082015572993E-5</v>
      </c>
      <c r="I1751" s="331">
        <v>308363</v>
      </c>
      <c r="J1751" s="331">
        <v>0</v>
      </c>
      <c r="K1751" s="331">
        <f t="shared" si="83"/>
        <v>308363</v>
      </c>
      <c r="L1751" s="199">
        <v>2.0299999999999998</v>
      </c>
      <c r="M1751" s="199">
        <v>1.89</v>
      </c>
    </row>
    <row r="1752" spans="1:13" ht="15" customHeight="1" x14ac:dyDescent="0.25">
      <c r="A1752" s="49">
        <v>2002</v>
      </c>
      <c r="B1752" s="330" t="s">
        <v>50</v>
      </c>
      <c r="C1752" s="331">
        <v>6621371693</v>
      </c>
      <c r="D1752" s="331">
        <v>1948288435</v>
      </c>
      <c r="E1752" s="331">
        <v>38269267</v>
      </c>
      <c r="F1752" s="331">
        <v>92684</v>
      </c>
      <c r="G1752" s="370">
        <f t="shared" si="81"/>
        <v>1.3997703844051516E-5</v>
      </c>
      <c r="H1752" s="370">
        <f t="shared" si="82"/>
        <v>4.7572011584619397E-5</v>
      </c>
      <c r="I1752" s="331">
        <v>289705</v>
      </c>
      <c r="J1752" s="331">
        <v>0</v>
      </c>
      <c r="K1752" s="331">
        <f t="shared" si="83"/>
        <v>289705</v>
      </c>
      <c r="L1752" s="199">
        <v>1.96</v>
      </c>
      <c r="M1752" s="199">
        <v>1.89</v>
      </c>
    </row>
    <row r="1753" spans="1:13" ht="15" customHeight="1" x14ac:dyDescent="0.25">
      <c r="A1753" s="49">
        <v>2003</v>
      </c>
      <c r="B1753" s="330" t="s">
        <v>50</v>
      </c>
      <c r="C1753" s="331">
        <v>6753905840</v>
      </c>
      <c r="D1753" s="331">
        <v>1915070234</v>
      </c>
      <c r="E1753" s="331">
        <v>38363634</v>
      </c>
      <c r="F1753" s="331">
        <v>94604</v>
      </c>
      <c r="G1753" s="370">
        <f t="shared" si="81"/>
        <v>1.4007302180570524E-5</v>
      </c>
      <c r="H1753" s="370">
        <f t="shared" si="82"/>
        <v>4.9399754808157078E-5</v>
      </c>
      <c r="I1753" s="331">
        <v>248152</v>
      </c>
      <c r="J1753" s="331">
        <v>0</v>
      </c>
      <c r="K1753" s="331">
        <f t="shared" si="83"/>
        <v>248152</v>
      </c>
      <c r="L1753" s="199">
        <v>2</v>
      </c>
      <c r="M1753" s="199">
        <v>1.89</v>
      </c>
    </row>
    <row r="1754" spans="1:13" ht="15" customHeight="1" x14ac:dyDescent="0.25">
      <c r="A1754" s="49">
        <v>2004</v>
      </c>
      <c r="B1754" s="330" t="s">
        <v>50</v>
      </c>
      <c r="C1754" s="331">
        <v>7082198858</v>
      </c>
      <c r="D1754" s="331">
        <v>1976632188</v>
      </c>
      <c r="E1754" s="331">
        <v>40809861</v>
      </c>
      <c r="F1754" s="331">
        <v>73363</v>
      </c>
      <c r="G1754" s="370">
        <f t="shared" si="81"/>
        <v>1.0358788488003227E-5</v>
      </c>
      <c r="H1754" s="370">
        <f t="shared" si="82"/>
        <v>3.7115149922874774E-5</v>
      </c>
      <c r="I1754" s="331">
        <v>226959</v>
      </c>
      <c r="J1754" s="331">
        <v>0</v>
      </c>
      <c r="K1754" s="331">
        <f t="shared" si="83"/>
        <v>226959</v>
      </c>
      <c r="L1754" s="199">
        <v>2.06</v>
      </c>
      <c r="M1754" s="199">
        <v>1.89</v>
      </c>
    </row>
    <row r="1755" spans="1:13" ht="15" customHeight="1" x14ac:dyDescent="0.25">
      <c r="A1755" s="49">
        <v>2005</v>
      </c>
      <c r="B1755" s="330" t="s">
        <v>50</v>
      </c>
      <c r="C1755" s="331">
        <v>7302797218</v>
      </c>
      <c r="D1755" s="331">
        <v>1993326376</v>
      </c>
      <c r="E1755" s="331">
        <v>48113043</v>
      </c>
      <c r="F1755" s="331">
        <v>73699</v>
      </c>
      <c r="G1755" s="370">
        <f t="shared" si="81"/>
        <v>1.0091886410093115E-5</v>
      </c>
      <c r="H1755" s="370">
        <f t="shared" si="82"/>
        <v>3.6972871521366953E-5</v>
      </c>
      <c r="I1755" s="331">
        <v>213378</v>
      </c>
      <c r="J1755" s="331">
        <v>0</v>
      </c>
      <c r="K1755" s="331">
        <f t="shared" si="83"/>
        <v>213378</v>
      </c>
      <c r="L1755" s="199">
        <v>2.41</v>
      </c>
      <c r="M1755" s="199">
        <v>1.89</v>
      </c>
    </row>
    <row r="1756" spans="1:13" ht="15" customHeight="1" x14ac:dyDescent="0.25">
      <c r="A1756" s="49">
        <v>2006</v>
      </c>
      <c r="B1756" s="330" t="s">
        <v>50</v>
      </c>
      <c r="C1756" s="331">
        <v>7608084858</v>
      </c>
      <c r="D1756" s="331">
        <v>2004651760</v>
      </c>
      <c r="E1756" s="331">
        <v>50549295</v>
      </c>
      <c r="F1756" s="331">
        <v>77532</v>
      </c>
      <c r="G1756" s="370">
        <f t="shared" si="81"/>
        <v>1.0190738069709369E-5</v>
      </c>
      <c r="H1756" s="370">
        <f t="shared" si="82"/>
        <v>3.8676044162403552E-5</v>
      </c>
      <c r="I1756" s="331">
        <v>195303</v>
      </c>
      <c r="J1756" s="331">
        <v>0</v>
      </c>
      <c r="K1756" s="331">
        <f t="shared" si="83"/>
        <v>195303</v>
      </c>
      <c r="L1756" s="199">
        <v>2.52</v>
      </c>
      <c r="M1756" s="199">
        <v>1.89</v>
      </c>
    </row>
    <row r="1757" spans="1:13" ht="15" customHeight="1" x14ac:dyDescent="0.25">
      <c r="A1757" s="49">
        <v>2007</v>
      </c>
      <c r="B1757" s="330" t="s">
        <v>50</v>
      </c>
      <c r="C1757" s="331">
        <v>7854229060</v>
      </c>
      <c r="D1757" s="331">
        <v>2018189787</v>
      </c>
      <c r="E1757" s="331">
        <v>57983160</v>
      </c>
      <c r="F1757" s="331">
        <v>85366</v>
      </c>
      <c r="G1757" s="370">
        <f t="shared" si="81"/>
        <v>1.0868794295133532E-5</v>
      </c>
      <c r="H1757" s="370">
        <f t="shared" si="82"/>
        <v>4.229830145305358E-5</v>
      </c>
      <c r="I1757" s="331">
        <v>177613</v>
      </c>
      <c r="J1757" s="331">
        <v>0</v>
      </c>
      <c r="K1757" s="331">
        <f t="shared" si="83"/>
        <v>177613</v>
      </c>
      <c r="L1757" s="199">
        <v>2.87</v>
      </c>
      <c r="M1757" s="199">
        <v>1.89</v>
      </c>
    </row>
    <row r="1758" spans="1:13" ht="15" customHeight="1" x14ac:dyDescent="0.25">
      <c r="A1758" s="49">
        <v>2008</v>
      </c>
      <c r="B1758" s="330" t="s">
        <v>50</v>
      </c>
      <c r="C1758" s="331">
        <v>8012037985</v>
      </c>
      <c r="D1758" s="331">
        <v>1989066849</v>
      </c>
      <c r="E1758" s="331">
        <v>58096450</v>
      </c>
      <c r="F1758" s="331">
        <v>105115</v>
      </c>
      <c r="G1758" s="370">
        <f t="shared" si="81"/>
        <v>1.3119633256456659E-5</v>
      </c>
      <c r="H1758" s="370">
        <f t="shared" si="82"/>
        <v>5.284638877413617E-5</v>
      </c>
      <c r="I1758" s="331">
        <v>137837</v>
      </c>
      <c r="J1758" s="331">
        <v>0</v>
      </c>
      <c r="K1758" s="331">
        <f t="shared" si="83"/>
        <v>137837</v>
      </c>
      <c r="L1758" s="199">
        <v>2.9</v>
      </c>
      <c r="M1758" s="199">
        <v>1.89</v>
      </c>
    </row>
    <row r="1759" spans="1:13" ht="15" customHeight="1" x14ac:dyDescent="0.25">
      <c r="A1759" s="49">
        <v>2009</v>
      </c>
      <c r="B1759" s="330" t="s">
        <v>50</v>
      </c>
      <c r="C1759" s="331">
        <v>7632935435</v>
      </c>
      <c r="D1759" s="331">
        <v>1864688111</v>
      </c>
      <c r="E1759" s="331">
        <v>60979260</v>
      </c>
      <c r="F1759" s="331">
        <v>183025</v>
      </c>
      <c r="G1759" s="370">
        <f t="shared" si="81"/>
        <v>2.3978324139984029E-5</v>
      </c>
      <c r="H1759" s="370">
        <f t="shared" si="82"/>
        <v>9.8153143638507386E-5</v>
      </c>
      <c r="I1759" s="331">
        <v>23038</v>
      </c>
      <c r="J1759" s="331">
        <v>0</v>
      </c>
      <c r="K1759" s="331">
        <f t="shared" si="83"/>
        <v>23038</v>
      </c>
      <c r="L1759" s="199">
        <v>3.3</v>
      </c>
      <c r="M1759" s="199">
        <v>1.93</v>
      </c>
    </row>
    <row r="1760" spans="1:13" ht="15" customHeight="1" x14ac:dyDescent="0.25">
      <c r="A1760" s="49">
        <v>2010</v>
      </c>
      <c r="B1760" s="330" t="s">
        <v>50</v>
      </c>
      <c r="C1760" s="331">
        <v>7768839192</v>
      </c>
      <c r="D1760" s="331">
        <v>2226666938</v>
      </c>
      <c r="E1760" s="331">
        <v>76988456</v>
      </c>
      <c r="F1760" s="331">
        <v>133583</v>
      </c>
      <c r="G1760" s="370">
        <f t="shared" si="81"/>
        <v>1.7194718116647048E-5</v>
      </c>
      <c r="H1760" s="370">
        <f t="shared" si="82"/>
        <v>5.9992357959015061E-5</v>
      </c>
      <c r="I1760" s="331">
        <v>1363</v>
      </c>
      <c r="J1760" s="331">
        <v>38475</v>
      </c>
      <c r="K1760" s="331">
        <f t="shared" si="83"/>
        <v>-37112</v>
      </c>
      <c r="L1760" s="199">
        <v>3.5</v>
      </c>
      <c r="M1760" s="199">
        <v>1.99</v>
      </c>
    </row>
    <row r="1761" spans="1:13" ht="15" customHeight="1" x14ac:dyDescent="0.25">
      <c r="A1761" s="49">
        <v>2011</v>
      </c>
      <c r="B1761" s="330" t="s">
        <v>50</v>
      </c>
      <c r="C1761" s="331">
        <v>8057521587</v>
      </c>
      <c r="D1761" s="331">
        <v>2784138047</v>
      </c>
      <c r="E1761" s="331">
        <v>110890001</v>
      </c>
      <c r="F1761" s="331">
        <v>105641</v>
      </c>
      <c r="G1761" s="370">
        <f t="shared" si="81"/>
        <v>1.3110855349173512E-5</v>
      </c>
      <c r="H1761" s="370">
        <f t="shared" si="82"/>
        <v>3.7943880014797272E-5</v>
      </c>
      <c r="I1761" s="331">
        <v>54533</v>
      </c>
      <c r="J1761" s="331">
        <v>77732</v>
      </c>
      <c r="K1761" s="331">
        <f t="shared" si="83"/>
        <v>-23199</v>
      </c>
      <c r="L1761" s="199">
        <v>4</v>
      </c>
      <c r="M1761" s="199">
        <v>1.99</v>
      </c>
    </row>
    <row r="1762" spans="1:13" ht="15" customHeight="1" x14ac:dyDescent="0.25">
      <c r="A1762" s="49">
        <v>2012</v>
      </c>
      <c r="B1762" s="330" t="s">
        <v>50</v>
      </c>
      <c r="C1762" s="331">
        <v>8345980281</v>
      </c>
      <c r="D1762" s="331">
        <v>3281096277</v>
      </c>
      <c r="E1762" s="331">
        <v>132591636</v>
      </c>
      <c r="F1762" s="331">
        <v>87591</v>
      </c>
      <c r="G1762" s="370">
        <f t="shared" si="81"/>
        <v>1.0494992445573452E-5</v>
      </c>
      <c r="H1762" s="370">
        <f t="shared" si="82"/>
        <v>2.6695650662249677E-5</v>
      </c>
      <c r="I1762" s="331">
        <v>80100</v>
      </c>
      <c r="J1762" s="331">
        <v>57732</v>
      </c>
      <c r="K1762" s="331">
        <f t="shared" si="83"/>
        <v>22368</v>
      </c>
      <c r="L1762" s="199">
        <v>4.04</v>
      </c>
      <c r="M1762" s="199">
        <v>1.99</v>
      </c>
    </row>
    <row r="1763" spans="1:13" ht="15" customHeight="1" x14ac:dyDescent="0.25">
      <c r="A1763" s="49">
        <v>2013</v>
      </c>
      <c r="B1763" s="330" t="s">
        <v>50</v>
      </c>
      <c r="C1763" s="331">
        <v>8546766181</v>
      </c>
      <c r="D1763" s="331">
        <v>3352630173</v>
      </c>
      <c r="E1763" s="331">
        <v>135959735</v>
      </c>
      <c r="F1763" s="331">
        <v>77305</v>
      </c>
      <c r="G1763" s="370">
        <f t="shared" si="81"/>
        <v>9.0449414858047584E-6</v>
      </c>
      <c r="H1763" s="370">
        <f t="shared" si="82"/>
        <v>2.305801594896044E-5</v>
      </c>
      <c r="I1763" s="331">
        <v>85353</v>
      </c>
      <c r="J1763" s="331">
        <v>0</v>
      </c>
      <c r="K1763" s="331">
        <f t="shared" si="83"/>
        <v>85353</v>
      </c>
      <c r="L1763" s="199">
        <v>4.0599999999999996</v>
      </c>
      <c r="M1763" s="199">
        <v>1.99</v>
      </c>
    </row>
    <row r="1764" spans="1:13" ht="15" customHeight="1" x14ac:dyDescent="0.25">
      <c r="A1764" s="49">
        <v>2014</v>
      </c>
      <c r="B1764" s="330" t="s">
        <v>50</v>
      </c>
      <c r="C1764" s="331">
        <v>8823807844</v>
      </c>
      <c r="D1764" s="331">
        <v>3417298861</v>
      </c>
      <c r="E1764" s="331">
        <v>135751409</v>
      </c>
      <c r="F1764" s="331">
        <v>71399</v>
      </c>
      <c r="G1764" s="370">
        <f t="shared" si="81"/>
        <v>8.0916313299535179E-6</v>
      </c>
      <c r="H1764" s="370">
        <f t="shared" si="82"/>
        <v>2.0893402334470273E-5</v>
      </c>
      <c r="I1764" s="331">
        <v>152934</v>
      </c>
      <c r="J1764" s="331">
        <v>0</v>
      </c>
      <c r="K1764" s="331">
        <f t="shared" si="83"/>
        <v>152934</v>
      </c>
      <c r="L1764" s="333">
        <v>3.972476933441965</v>
      </c>
      <c r="M1764" s="199">
        <v>1.99</v>
      </c>
    </row>
    <row r="1765" spans="1:13" ht="15" customHeight="1" x14ac:dyDescent="0.25">
      <c r="A1765" s="49">
        <v>2015</v>
      </c>
      <c r="B1765" s="330" t="s">
        <v>50</v>
      </c>
      <c r="C1765" s="334">
        <v>9148678000</v>
      </c>
      <c r="D1765" s="334">
        <v>3615945000</v>
      </c>
      <c r="E1765" s="334">
        <v>137900000</v>
      </c>
      <c r="F1765" s="331">
        <v>63747</v>
      </c>
      <c r="G1765" s="370">
        <f t="shared" si="81"/>
        <v>6.9678919730260482E-6</v>
      </c>
      <c r="H1765" s="370">
        <f t="shared" si="82"/>
        <v>1.7629416376631836E-5</v>
      </c>
      <c r="I1765" s="331">
        <v>230963</v>
      </c>
      <c r="J1765" s="199">
        <v>0</v>
      </c>
      <c r="K1765" s="331">
        <f t="shared" si="83"/>
        <v>230963</v>
      </c>
      <c r="L1765" s="199">
        <v>3.8</v>
      </c>
      <c r="M1765" s="199">
        <v>1.99</v>
      </c>
    </row>
    <row r="1766" spans="1:13" ht="15" customHeight="1" x14ac:dyDescent="0.25">
      <c r="A1766" s="49">
        <v>1980</v>
      </c>
      <c r="B1766" s="330" t="s">
        <v>51</v>
      </c>
      <c r="C1766" s="331">
        <v>19528150460</v>
      </c>
      <c r="D1766" s="331">
        <v>10913410752</v>
      </c>
      <c r="E1766" s="331">
        <v>326651149</v>
      </c>
      <c r="F1766" s="331">
        <v>299588</v>
      </c>
      <c r="G1766" s="370">
        <f t="shared" si="81"/>
        <v>1.5341340216199872E-5</v>
      </c>
      <c r="H1766" s="370">
        <f t="shared" si="82"/>
        <v>2.7451362988889359E-5</v>
      </c>
      <c r="I1766" s="331">
        <v>367970</v>
      </c>
      <c r="J1766" s="331">
        <v>0</v>
      </c>
      <c r="K1766" s="331">
        <f t="shared" si="83"/>
        <v>367970</v>
      </c>
      <c r="L1766" s="199">
        <v>2.99</v>
      </c>
      <c r="M1766" s="199">
        <v>3.03</v>
      </c>
    </row>
    <row r="1767" spans="1:13" ht="15" customHeight="1" x14ac:dyDescent="0.25">
      <c r="A1767" s="49">
        <v>1981</v>
      </c>
      <c r="B1767" s="330" t="s">
        <v>51</v>
      </c>
      <c r="C1767" s="331">
        <v>21225127528</v>
      </c>
      <c r="D1767" s="331">
        <v>11659380173</v>
      </c>
      <c r="E1767" s="331">
        <v>348850690</v>
      </c>
      <c r="F1767" s="331">
        <v>351721</v>
      </c>
      <c r="G1767" s="370">
        <f t="shared" si="81"/>
        <v>1.6570972284430931E-5</v>
      </c>
      <c r="H1767" s="370">
        <f t="shared" si="82"/>
        <v>3.0166354881753628E-5</v>
      </c>
      <c r="I1767" s="331">
        <v>382035</v>
      </c>
      <c r="J1767" s="331">
        <v>0</v>
      </c>
      <c r="K1767" s="331">
        <f t="shared" si="83"/>
        <v>382035</v>
      </c>
      <c r="L1767" s="199">
        <v>2.99</v>
      </c>
      <c r="M1767" s="199">
        <v>3.03</v>
      </c>
    </row>
    <row r="1768" spans="1:13" ht="15" customHeight="1" x14ac:dyDescent="0.25">
      <c r="A1768" s="49">
        <v>1982</v>
      </c>
      <c r="B1768" s="330" t="s">
        <v>51</v>
      </c>
      <c r="C1768" s="331">
        <v>20989319904</v>
      </c>
      <c r="D1768" s="331">
        <v>11591028319</v>
      </c>
      <c r="E1768" s="331">
        <v>346645670</v>
      </c>
      <c r="F1768" s="331">
        <v>525967</v>
      </c>
      <c r="G1768" s="370">
        <f t="shared" si="81"/>
        <v>2.5058791919206721E-5</v>
      </c>
      <c r="H1768" s="370">
        <f t="shared" si="82"/>
        <v>4.5377078333751936E-5</v>
      </c>
      <c r="I1768" s="331">
        <v>150264</v>
      </c>
      <c r="J1768" s="331">
        <v>0</v>
      </c>
      <c r="K1768" s="331">
        <f t="shared" si="83"/>
        <v>150264</v>
      </c>
      <c r="L1768" s="199">
        <v>2.99</v>
      </c>
      <c r="M1768" s="199">
        <v>3.22</v>
      </c>
    </row>
    <row r="1769" spans="1:13" ht="15" customHeight="1" x14ac:dyDescent="0.25">
      <c r="A1769" s="49">
        <v>1983</v>
      </c>
      <c r="B1769" s="330" t="s">
        <v>51</v>
      </c>
      <c r="C1769" s="331">
        <v>21301564716</v>
      </c>
      <c r="D1769" s="331">
        <v>12098130373</v>
      </c>
      <c r="E1769" s="331">
        <v>361904323</v>
      </c>
      <c r="F1769" s="331">
        <v>459339</v>
      </c>
      <c r="G1769" s="370">
        <f t="shared" si="81"/>
        <v>2.1563627185329815E-5</v>
      </c>
      <c r="H1769" s="370">
        <f t="shared" si="82"/>
        <v>3.7967767401906145E-5</v>
      </c>
      <c r="I1769" s="331">
        <v>22252</v>
      </c>
      <c r="J1769" s="331">
        <v>0</v>
      </c>
      <c r="K1769" s="331">
        <f t="shared" si="83"/>
        <v>22252</v>
      </c>
      <c r="L1769" s="199">
        <v>2.99</v>
      </c>
      <c r="M1769" s="199">
        <v>3.22</v>
      </c>
    </row>
    <row r="1770" spans="1:13" ht="15" customHeight="1" x14ac:dyDescent="0.25">
      <c r="A1770" s="49">
        <v>1984</v>
      </c>
      <c r="B1770" s="330" t="s">
        <v>51</v>
      </c>
      <c r="C1770" s="331">
        <v>22485638434</v>
      </c>
      <c r="D1770" s="331">
        <v>12938441536</v>
      </c>
      <c r="E1770" s="331">
        <v>426027930</v>
      </c>
      <c r="F1770" s="331">
        <v>377635</v>
      </c>
      <c r="G1770" s="370">
        <f t="shared" si="81"/>
        <v>1.6794497568233911E-5</v>
      </c>
      <c r="H1770" s="370">
        <f t="shared" si="82"/>
        <v>2.9187054634769267E-5</v>
      </c>
      <c r="I1770" s="331">
        <v>77250</v>
      </c>
      <c r="J1770" s="331">
        <v>0</v>
      </c>
      <c r="K1770" s="331">
        <f t="shared" si="83"/>
        <v>77250</v>
      </c>
      <c r="L1770" s="199">
        <v>3.29</v>
      </c>
      <c r="M1770" s="199">
        <v>3.22</v>
      </c>
    </row>
    <row r="1771" spans="1:13" ht="15" customHeight="1" x14ac:dyDescent="0.25">
      <c r="A1771" s="49">
        <v>1985</v>
      </c>
      <c r="B1771" s="330" t="s">
        <v>51</v>
      </c>
      <c r="C1771" s="331">
        <v>23661854729</v>
      </c>
      <c r="D1771" s="331">
        <v>11879064237</v>
      </c>
      <c r="E1771" s="331">
        <v>480346692</v>
      </c>
      <c r="F1771" s="331">
        <v>387916</v>
      </c>
      <c r="G1771" s="370">
        <f t="shared" si="81"/>
        <v>1.6394150181497381E-5</v>
      </c>
      <c r="H1771" s="370">
        <f t="shared" si="82"/>
        <v>3.2655434153790411E-5</v>
      </c>
      <c r="I1771" s="331">
        <v>163663</v>
      </c>
      <c r="J1771" s="331">
        <v>0</v>
      </c>
      <c r="K1771" s="331">
        <f t="shared" si="83"/>
        <v>163663</v>
      </c>
      <c r="L1771" s="199">
        <v>4.04</v>
      </c>
      <c r="M1771" s="199">
        <v>3.22</v>
      </c>
    </row>
    <row r="1772" spans="1:13" ht="15" customHeight="1" x14ac:dyDescent="0.25">
      <c r="A1772" s="49">
        <v>1986</v>
      </c>
      <c r="B1772" s="330" t="s">
        <v>51</v>
      </c>
      <c r="C1772" s="331">
        <v>25583585590</v>
      </c>
      <c r="D1772" s="331">
        <v>13604424175</v>
      </c>
      <c r="E1772" s="331">
        <v>548786222</v>
      </c>
      <c r="F1772" s="331">
        <v>362233</v>
      </c>
      <c r="G1772" s="370">
        <f t="shared" si="81"/>
        <v>1.4158805016822507E-5</v>
      </c>
      <c r="H1772" s="370">
        <f t="shared" si="82"/>
        <v>2.6626117749669473E-5</v>
      </c>
      <c r="I1772" s="331">
        <v>353579</v>
      </c>
      <c r="J1772" s="331">
        <v>0</v>
      </c>
      <c r="K1772" s="331">
        <f t="shared" si="83"/>
        <v>353579</v>
      </c>
      <c r="L1772" s="199">
        <v>4.03</v>
      </c>
      <c r="M1772" s="199">
        <v>3.22</v>
      </c>
    </row>
    <row r="1773" spans="1:13" ht="15" customHeight="1" x14ac:dyDescent="0.25">
      <c r="A1773" s="49">
        <v>1987</v>
      </c>
      <c r="B1773" s="330" t="s">
        <v>51</v>
      </c>
      <c r="C1773" s="331">
        <v>27555198717</v>
      </c>
      <c r="D1773" s="331">
        <v>15681893401</v>
      </c>
      <c r="E1773" s="331">
        <v>632503898</v>
      </c>
      <c r="F1773" s="331">
        <v>342220</v>
      </c>
      <c r="G1773" s="370">
        <f t="shared" si="81"/>
        <v>1.2419435022577776E-5</v>
      </c>
      <c r="H1773" s="370">
        <f t="shared" si="82"/>
        <v>2.1822619963618513E-5</v>
      </c>
      <c r="I1773" s="331">
        <v>654502</v>
      </c>
      <c r="J1773" s="331">
        <v>0</v>
      </c>
      <c r="K1773" s="331">
        <f t="shared" si="83"/>
        <v>654502</v>
      </c>
      <c r="L1773" s="199">
        <v>4.03</v>
      </c>
      <c r="M1773" s="199">
        <v>3.22</v>
      </c>
    </row>
    <row r="1774" spans="1:13" ht="15" customHeight="1" x14ac:dyDescent="0.25">
      <c r="A1774" s="49">
        <v>1988</v>
      </c>
      <c r="B1774" s="330" t="s">
        <v>51</v>
      </c>
      <c r="C1774" s="331">
        <v>30098852810</v>
      </c>
      <c r="D1774" s="331">
        <v>18148227194</v>
      </c>
      <c r="E1774" s="331">
        <v>674286669</v>
      </c>
      <c r="F1774" s="331">
        <v>344293</v>
      </c>
      <c r="G1774" s="370">
        <f t="shared" si="81"/>
        <v>1.1438741608305171E-5</v>
      </c>
      <c r="H1774" s="370">
        <f t="shared" si="82"/>
        <v>1.8971164308204549E-5</v>
      </c>
      <c r="I1774" s="331">
        <v>1042354</v>
      </c>
      <c r="J1774" s="331">
        <v>0</v>
      </c>
      <c r="K1774" s="331">
        <f t="shared" si="83"/>
        <v>1042354</v>
      </c>
      <c r="L1774" s="199">
        <v>3.72</v>
      </c>
      <c r="M1774" s="199">
        <v>3.22</v>
      </c>
    </row>
    <row r="1775" spans="1:13" ht="15" customHeight="1" x14ac:dyDescent="0.25">
      <c r="A1775" s="49">
        <v>1989</v>
      </c>
      <c r="B1775" s="330" t="s">
        <v>51</v>
      </c>
      <c r="C1775" s="331">
        <v>33271576453</v>
      </c>
      <c r="D1775" s="331">
        <v>20118654714</v>
      </c>
      <c r="E1775" s="331">
        <v>545091084</v>
      </c>
      <c r="F1775" s="331">
        <v>343381</v>
      </c>
      <c r="G1775" s="370">
        <f t="shared" si="81"/>
        <v>1.0320550950901466E-5</v>
      </c>
      <c r="H1775" s="370">
        <f t="shared" si="82"/>
        <v>1.7067791305203469E-5</v>
      </c>
      <c r="I1775" s="331">
        <v>1364312</v>
      </c>
      <c r="J1775" s="331">
        <v>0</v>
      </c>
      <c r="K1775" s="331">
        <f t="shared" si="83"/>
        <v>1364312</v>
      </c>
      <c r="L1775" s="199">
        <v>2.71</v>
      </c>
      <c r="M1775" s="199">
        <v>3.22</v>
      </c>
    </row>
    <row r="1776" spans="1:13" ht="15" customHeight="1" x14ac:dyDescent="0.25">
      <c r="A1776" s="49">
        <v>1990</v>
      </c>
      <c r="B1776" s="330" t="s">
        <v>51</v>
      </c>
      <c r="C1776" s="331">
        <v>36947704757</v>
      </c>
      <c r="D1776" s="331">
        <v>22201849010</v>
      </c>
      <c r="E1776" s="331">
        <v>513611033</v>
      </c>
      <c r="F1776" s="331">
        <v>394830</v>
      </c>
      <c r="G1776" s="370">
        <f t="shared" si="81"/>
        <v>1.0686184773769924E-5</v>
      </c>
      <c r="H1776" s="370">
        <f t="shared" si="82"/>
        <v>1.7783653957026889E-5</v>
      </c>
      <c r="I1776" s="331">
        <v>1624124</v>
      </c>
      <c r="J1776" s="331">
        <v>0</v>
      </c>
      <c r="K1776" s="331">
        <f t="shared" si="83"/>
        <v>1624124</v>
      </c>
      <c r="L1776" s="199">
        <v>2.31</v>
      </c>
      <c r="M1776" s="199">
        <v>3.02</v>
      </c>
    </row>
    <row r="1777" spans="1:13" ht="15" customHeight="1" x14ac:dyDescent="0.25">
      <c r="A1777" s="49">
        <v>1991</v>
      </c>
      <c r="B1777" s="330" t="s">
        <v>51</v>
      </c>
      <c r="C1777" s="331">
        <v>38849518916</v>
      </c>
      <c r="D1777" s="331">
        <v>22686059469</v>
      </c>
      <c r="E1777" s="331">
        <v>528857787</v>
      </c>
      <c r="F1777" s="331">
        <v>569077</v>
      </c>
      <c r="G1777" s="370">
        <f t="shared" si="81"/>
        <v>1.464823801886587E-5</v>
      </c>
      <c r="H1777" s="370">
        <f t="shared" si="82"/>
        <v>2.5084876497728976E-5</v>
      </c>
      <c r="I1777" s="331">
        <v>1707604</v>
      </c>
      <c r="J1777" s="331">
        <v>0</v>
      </c>
      <c r="K1777" s="331">
        <f t="shared" si="83"/>
        <v>1707604</v>
      </c>
      <c r="L1777" s="199">
        <v>2.33</v>
      </c>
      <c r="M1777" s="199">
        <v>2.5099999999999998</v>
      </c>
    </row>
    <row r="1778" spans="1:13" ht="15" customHeight="1" x14ac:dyDescent="0.25">
      <c r="A1778" s="49">
        <v>1992</v>
      </c>
      <c r="B1778" s="330" t="s">
        <v>51</v>
      </c>
      <c r="C1778" s="331">
        <v>42216210436</v>
      </c>
      <c r="D1778" s="331">
        <v>24656214976</v>
      </c>
      <c r="E1778" s="331">
        <v>556983555</v>
      </c>
      <c r="F1778" s="331">
        <v>618693</v>
      </c>
      <c r="G1778" s="370">
        <f t="shared" si="81"/>
        <v>1.4655341955383273E-5</v>
      </c>
      <c r="H1778" s="370">
        <f t="shared" si="82"/>
        <v>2.5092780891236825E-5</v>
      </c>
      <c r="I1778" s="331">
        <v>1766006</v>
      </c>
      <c r="J1778" s="331">
        <v>0</v>
      </c>
      <c r="K1778" s="331">
        <f t="shared" si="83"/>
        <v>1766006</v>
      </c>
      <c r="L1778" s="199">
        <v>2.2599999999999998</v>
      </c>
      <c r="M1778" s="199">
        <v>2.5099999999999998</v>
      </c>
    </row>
    <row r="1779" spans="1:13" ht="15" customHeight="1" x14ac:dyDescent="0.25">
      <c r="A1779" s="49">
        <v>1993</v>
      </c>
      <c r="B1779" s="330" t="s">
        <v>51</v>
      </c>
      <c r="C1779" s="331">
        <v>43029289378</v>
      </c>
      <c r="D1779" s="331">
        <v>25915761421</v>
      </c>
      <c r="E1779" s="331">
        <v>586742252</v>
      </c>
      <c r="F1779" s="331">
        <v>704141</v>
      </c>
      <c r="G1779" s="370">
        <f t="shared" si="81"/>
        <v>1.6364225628137214E-5</v>
      </c>
      <c r="H1779" s="370">
        <f t="shared" si="82"/>
        <v>2.7170376689354072E-5</v>
      </c>
      <c r="I1779" s="331">
        <v>1743146</v>
      </c>
      <c r="J1779" s="331">
        <v>0</v>
      </c>
      <c r="K1779" s="331">
        <f t="shared" si="83"/>
        <v>1743146</v>
      </c>
      <c r="L1779" s="199">
        <v>2.2599999999999998</v>
      </c>
      <c r="M1779" s="199">
        <v>2.5099999999999998</v>
      </c>
    </row>
    <row r="1780" spans="1:13" ht="15" customHeight="1" x14ac:dyDescent="0.25">
      <c r="A1780" s="49">
        <v>1994</v>
      </c>
      <c r="B1780" s="330" t="s">
        <v>51</v>
      </c>
      <c r="C1780" s="331">
        <v>45392976451</v>
      </c>
      <c r="D1780" s="331">
        <v>28102761702</v>
      </c>
      <c r="E1780" s="331">
        <v>551877246</v>
      </c>
      <c r="F1780" s="331">
        <v>821864</v>
      </c>
      <c r="G1780" s="370">
        <f t="shared" si="81"/>
        <v>1.8105532270772573E-5</v>
      </c>
      <c r="H1780" s="370">
        <f t="shared" si="82"/>
        <v>2.9244954951936632E-5</v>
      </c>
      <c r="I1780" s="331">
        <v>1565417</v>
      </c>
      <c r="J1780" s="331">
        <v>0</v>
      </c>
      <c r="K1780" s="331">
        <f t="shared" si="83"/>
        <v>1565417</v>
      </c>
      <c r="L1780" s="199">
        <v>1.96</v>
      </c>
      <c r="M1780" s="199">
        <v>2.5099999999999998</v>
      </c>
    </row>
    <row r="1781" spans="1:13" ht="15" customHeight="1" x14ac:dyDescent="0.25">
      <c r="A1781" s="49">
        <v>1995</v>
      </c>
      <c r="B1781" s="330" t="s">
        <v>51</v>
      </c>
      <c r="C1781" s="331">
        <v>48305830823</v>
      </c>
      <c r="D1781" s="331">
        <v>29155507731</v>
      </c>
      <c r="E1781" s="331">
        <v>558836600</v>
      </c>
      <c r="F1781" s="331">
        <v>793643</v>
      </c>
      <c r="G1781" s="370">
        <f t="shared" si="81"/>
        <v>1.6429548699990901E-5</v>
      </c>
      <c r="H1781" s="370">
        <f t="shared" si="82"/>
        <v>2.7221031693992695E-5</v>
      </c>
      <c r="I1781" s="331">
        <v>1417701</v>
      </c>
      <c r="J1781" s="331">
        <v>0</v>
      </c>
      <c r="K1781" s="331">
        <f t="shared" si="83"/>
        <v>1417701</v>
      </c>
      <c r="L1781" s="199">
        <v>1.92</v>
      </c>
      <c r="M1781" s="199">
        <v>2.37</v>
      </c>
    </row>
    <row r="1782" spans="1:13" ht="15" customHeight="1" x14ac:dyDescent="0.25">
      <c r="A1782" s="49">
        <v>1996</v>
      </c>
      <c r="B1782" s="330" t="s">
        <v>51</v>
      </c>
      <c r="C1782" s="331">
        <v>52735796291</v>
      </c>
      <c r="D1782" s="331">
        <v>30818816564</v>
      </c>
      <c r="E1782" s="331">
        <v>578375923</v>
      </c>
      <c r="F1782" s="331">
        <v>795249</v>
      </c>
      <c r="G1782" s="370">
        <f t="shared" si="81"/>
        <v>1.5079870902332783E-5</v>
      </c>
      <c r="H1782" s="370">
        <f t="shared" si="82"/>
        <v>2.5804008351473961E-5</v>
      </c>
      <c r="I1782" s="331">
        <v>1332508</v>
      </c>
      <c r="J1782" s="331">
        <v>0</v>
      </c>
      <c r="K1782" s="331">
        <f t="shared" si="83"/>
        <v>1332508</v>
      </c>
      <c r="L1782" s="199">
        <v>1.88</v>
      </c>
      <c r="M1782" s="199">
        <v>2.37</v>
      </c>
    </row>
    <row r="1783" spans="1:13" ht="15" customHeight="1" x14ac:dyDescent="0.25">
      <c r="A1783" s="49">
        <v>1997</v>
      </c>
      <c r="B1783" s="330" t="s">
        <v>51</v>
      </c>
      <c r="C1783" s="331">
        <v>59760915129</v>
      </c>
      <c r="D1783" s="331">
        <v>33092704946</v>
      </c>
      <c r="E1783" s="331">
        <v>710892728</v>
      </c>
      <c r="F1783" s="331">
        <v>662694</v>
      </c>
      <c r="G1783" s="370">
        <f t="shared" si="81"/>
        <v>1.1089087216444189E-5</v>
      </c>
      <c r="H1783" s="370">
        <f t="shared" si="82"/>
        <v>2.0025380248649078E-5</v>
      </c>
      <c r="I1783" s="331">
        <v>1447195</v>
      </c>
      <c r="J1783" s="331">
        <v>0</v>
      </c>
      <c r="K1783" s="331">
        <f t="shared" si="83"/>
        <v>1447195</v>
      </c>
      <c r="L1783" s="199">
        <v>2.15</v>
      </c>
      <c r="M1783" s="199">
        <v>2.37</v>
      </c>
    </row>
    <row r="1784" spans="1:13" ht="15" customHeight="1" x14ac:dyDescent="0.25">
      <c r="A1784" s="49">
        <v>1998</v>
      </c>
      <c r="B1784" s="330" t="s">
        <v>51</v>
      </c>
      <c r="C1784" s="331">
        <v>67474776107</v>
      </c>
      <c r="D1784" s="331">
        <v>37210240805</v>
      </c>
      <c r="E1784" s="331">
        <v>802478625</v>
      </c>
      <c r="F1784" s="331">
        <v>726706</v>
      </c>
      <c r="G1784" s="370">
        <f t="shared" si="81"/>
        <v>1.077003944181461E-5</v>
      </c>
      <c r="H1784" s="370">
        <f t="shared" si="82"/>
        <v>1.9529731178260779E-5</v>
      </c>
      <c r="I1784" s="331">
        <v>1622203</v>
      </c>
      <c r="J1784" s="331">
        <v>0</v>
      </c>
      <c r="K1784" s="331">
        <f t="shared" si="83"/>
        <v>1622203</v>
      </c>
      <c r="L1784" s="199">
        <v>2.16</v>
      </c>
      <c r="M1784" s="199">
        <v>2.37</v>
      </c>
    </row>
    <row r="1785" spans="1:13" ht="15" customHeight="1" x14ac:dyDescent="0.25">
      <c r="A1785" s="49">
        <v>1999</v>
      </c>
      <c r="B1785" s="330" t="s">
        <v>51</v>
      </c>
      <c r="C1785" s="331">
        <v>75245806412</v>
      </c>
      <c r="D1785" s="331">
        <v>40609294686</v>
      </c>
      <c r="E1785" s="331">
        <v>889405233</v>
      </c>
      <c r="F1785" s="331">
        <v>861001</v>
      </c>
      <c r="G1785" s="370">
        <f t="shared" si="81"/>
        <v>1.1442511430945204E-5</v>
      </c>
      <c r="H1785" s="370">
        <f t="shared" si="82"/>
        <v>2.1202067326149079E-5</v>
      </c>
      <c r="I1785" s="331">
        <v>1752912</v>
      </c>
      <c r="J1785" s="331">
        <v>0</v>
      </c>
      <c r="K1785" s="331">
        <f t="shared" si="83"/>
        <v>1752912</v>
      </c>
      <c r="L1785" s="199">
        <v>2.19</v>
      </c>
      <c r="M1785" s="199">
        <v>2.37</v>
      </c>
    </row>
    <row r="1786" spans="1:13" x14ac:dyDescent="0.25">
      <c r="A1786" s="49">
        <v>2000</v>
      </c>
      <c r="B1786" s="330" t="s">
        <v>51</v>
      </c>
      <c r="C1786" s="331">
        <v>79861097755</v>
      </c>
      <c r="D1786" s="331">
        <v>42847813963</v>
      </c>
      <c r="E1786" s="331">
        <v>899346580</v>
      </c>
      <c r="F1786" s="331">
        <v>827064</v>
      </c>
      <c r="G1786" s="370">
        <f t="shared" si="81"/>
        <v>1.0356281384176422E-5</v>
      </c>
      <c r="H1786" s="370">
        <f t="shared" si="82"/>
        <v>1.9302361626060723E-5</v>
      </c>
      <c r="I1786" s="331">
        <v>1963544</v>
      </c>
      <c r="J1786" s="331">
        <v>0</v>
      </c>
      <c r="K1786" s="331">
        <f t="shared" si="83"/>
        <v>1963544</v>
      </c>
      <c r="L1786" s="199">
        <v>2.1</v>
      </c>
      <c r="M1786" s="199">
        <v>2.37</v>
      </c>
    </row>
    <row r="1787" spans="1:13" ht="15" customHeight="1" x14ac:dyDescent="0.25">
      <c r="A1787" s="49">
        <v>2001</v>
      </c>
      <c r="B1787" s="330" t="s">
        <v>51</v>
      </c>
      <c r="C1787" s="331">
        <v>78644160630</v>
      </c>
      <c r="D1787" s="331">
        <v>44299141392</v>
      </c>
      <c r="E1787" s="331">
        <v>923196247</v>
      </c>
      <c r="F1787" s="331">
        <v>1198883</v>
      </c>
      <c r="G1787" s="370">
        <f t="shared" si="81"/>
        <v>1.5244399462032888E-5</v>
      </c>
      <c r="H1787" s="370">
        <f t="shared" si="82"/>
        <v>2.706334620328571E-5</v>
      </c>
      <c r="I1787" s="331">
        <v>1796158</v>
      </c>
      <c r="J1787" s="331">
        <v>0</v>
      </c>
      <c r="K1787" s="331">
        <f t="shared" si="83"/>
        <v>1796158</v>
      </c>
      <c r="L1787" s="199">
        <v>2.08</v>
      </c>
      <c r="M1787" s="199">
        <v>2.37</v>
      </c>
    </row>
    <row r="1788" spans="1:13" ht="15" customHeight="1" x14ac:dyDescent="0.25">
      <c r="A1788" s="49">
        <v>2002</v>
      </c>
      <c r="B1788" s="330" t="s">
        <v>51</v>
      </c>
      <c r="C1788" s="331">
        <v>77543723718</v>
      </c>
      <c r="D1788" s="331">
        <v>45359600000</v>
      </c>
      <c r="E1788" s="331">
        <v>937499469</v>
      </c>
      <c r="F1788" s="331">
        <v>1561735</v>
      </c>
      <c r="G1788" s="370">
        <f t="shared" si="81"/>
        <v>2.0140056797884714E-5</v>
      </c>
      <c r="H1788" s="370">
        <f t="shared" si="82"/>
        <v>3.4430087566909758E-5</v>
      </c>
      <c r="I1788" s="331">
        <v>1320358</v>
      </c>
      <c r="J1788" s="331">
        <v>0</v>
      </c>
      <c r="K1788" s="331">
        <f t="shared" si="83"/>
        <v>1320358</v>
      </c>
      <c r="L1788" s="199">
        <v>2.0699999999999998</v>
      </c>
      <c r="M1788" s="199">
        <v>2.44</v>
      </c>
    </row>
    <row r="1789" spans="1:13" ht="15" customHeight="1" x14ac:dyDescent="0.25">
      <c r="A1789" s="49">
        <v>2003</v>
      </c>
      <c r="B1789" s="330" t="s">
        <v>51</v>
      </c>
      <c r="C1789" s="331">
        <v>78624216922</v>
      </c>
      <c r="D1789" s="331">
        <v>46352946569</v>
      </c>
      <c r="E1789" s="331">
        <v>1103160895</v>
      </c>
      <c r="F1789" s="331">
        <v>1366776</v>
      </c>
      <c r="G1789" s="370">
        <f t="shared" si="81"/>
        <v>1.7383651672561965E-5</v>
      </c>
      <c r="H1789" s="370">
        <f t="shared" si="82"/>
        <v>2.9486280833634744E-5</v>
      </c>
      <c r="I1789" s="331">
        <v>972417</v>
      </c>
      <c r="J1789" s="331">
        <v>0</v>
      </c>
      <c r="K1789" s="331">
        <f t="shared" si="83"/>
        <v>972417</v>
      </c>
      <c r="L1789" s="199">
        <v>2.38</v>
      </c>
      <c r="M1789" s="199">
        <v>2.44</v>
      </c>
    </row>
    <row r="1790" spans="1:13" ht="15" customHeight="1" x14ac:dyDescent="0.25">
      <c r="A1790" s="49">
        <v>2004</v>
      </c>
      <c r="B1790" s="330" t="s">
        <v>51</v>
      </c>
      <c r="C1790" s="331">
        <v>80089855341</v>
      </c>
      <c r="D1790" s="331">
        <v>48398496958</v>
      </c>
      <c r="E1790" s="331">
        <v>1358416654</v>
      </c>
      <c r="F1790" s="331">
        <v>985814</v>
      </c>
      <c r="G1790" s="370">
        <f t="shared" si="81"/>
        <v>1.2308849801297333E-5</v>
      </c>
      <c r="H1790" s="370">
        <f t="shared" si="82"/>
        <v>2.0368690392502995E-5</v>
      </c>
      <c r="I1790" s="331">
        <v>1376856</v>
      </c>
      <c r="J1790" s="331">
        <v>0</v>
      </c>
      <c r="K1790" s="331">
        <f t="shared" si="83"/>
        <v>1376856</v>
      </c>
      <c r="L1790" s="199">
        <v>2.81</v>
      </c>
      <c r="M1790" s="199">
        <v>2.44</v>
      </c>
    </row>
    <row r="1791" spans="1:13" ht="15" customHeight="1" x14ac:dyDescent="0.25">
      <c r="A1791" s="49">
        <v>2005</v>
      </c>
      <c r="B1791" s="330" t="s">
        <v>51</v>
      </c>
      <c r="C1791" s="331">
        <v>85558105262</v>
      </c>
      <c r="D1791" s="331">
        <v>51134514604</v>
      </c>
      <c r="E1791" s="331">
        <v>1420652882</v>
      </c>
      <c r="F1791" s="331">
        <v>706479</v>
      </c>
      <c r="G1791" s="370">
        <f t="shared" si="81"/>
        <v>8.2573006711238787E-6</v>
      </c>
      <c r="H1791" s="370">
        <f t="shared" si="82"/>
        <v>1.3816088907290334E-5</v>
      </c>
      <c r="I1791" s="331">
        <v>2258054</v>
      </c>
      <c r="J1791" s="331">
        <v>0</v>
      </c>
      <c r="K1791" s="331">
        <f t="shared" si="83"/>
        <v>2258054</v>
      </c>
      <c r="L1791" s="199">
        <v>2.78</v>
      </c>
      <c r="M1791" s="199">
        <v>2.44</v>
      </c>
    </row>
    <row r="1792" spans="1:13" ht="15" customHeight="1" x14ac:dyDescent="0.25">
      <c r="A1792" s="49">
        <v>2006</v>
      </c>
      <c r="B1792" s="330" t="s">
        <v>51</v>
      </c>
      <c r="C1792" s="331">
        <v>93764617608</v>
      </c>
      <c r="D1792" s="331">
        <v>54491343261</v>
      </c>
      <c r="E1792" s="331">
        <v>1296245963</v>
      </c>
      <c r="F1792" s="331">
        <v>665373</v>
      </c>
      <c r="G1792" s="370">
        <f t="shared" si="81"/>
        <v>7.0962055514555879E-6</v>
      </c>
      <c r="H1792" s="370">
        <f t="shared" si="82"/>
        <v>1.221061842452715E-5</v>
      </c>
      <c r="I1792" s="331">
        <v>3112286</v>
      </c>
      <c r="J1792" s="331">
        <v>0</v>
      </c>
      <c r="K1792" s="331">
        <f t="shared" si="83"/>
        <v>3112286</v>
      </c>
      <c r="L1792" s="199">
        <v>2.38</v>
      </c>
      <c r="M1792" s="199">
        <v>2.44</v>
      </c>
    </row>
    <row r="1793" spans="1:13" ht="15" customHeight="1" x14ac:dyDescent="0.25">
      <c r="A1793" s="49">
        <v>2007</v>
      </c>
      <c r="B1793" s="330" t="s">
        <v>51</v>
      </c>
      <c r="C1793" s="331">
        <v>101438869563</v>
      </c>
      <c r="D1793" s="331">
        <v>57741584462</v>
      </c>
      <c r="E1793" s="331">
        <v>1137763571</v>
      </c>
      <c r="F1793" s="331">
        <v>671457</v>
      </c>
      <c r="G1793" s="370">
        <f t="shared" si="81"/>
        <v>6.6193265253511374E-6</v>
      </c>
      <c r="H1793" s="370">
        <f t="shared" si="82"/>
        <v>1.1628655608539613E-5</v>
      </c>
      <c r="I1793" s="331">
        <v>3794156</v>
      </c>
      <c r="J1793" s="331">
        <v>0</v>
      </c>
      <c r="K1793" s="331">
        <f t="shared" si="83"/>
        <v>3794156</v>
      </c>
      <c r="L1793" s="199">
        <v>1.97</v>
      </c>
      <c r="M1793" s="199">
        <v>2.44</v>
      </c>
    </row>
    <row r="1794" spans="1:13" ht="15" customHeight="1" x14ac:dyDescent="0.25">
      <c r="A1794" s="49">
        <v>2008</v>
      </c>
      <c r="B1794" s="330" t="s">
        <v>51</v>
      </c>
      <c r="C1794" s="331">
        <v>105012532960</v>
      </c>
      <c r="D1794" s="331">
        <v>61301362460</v>
      </c>
      <c r="E1794" s="331">
        <v>1015626807</v>
      </c>
      <c r="F1794" s="331">
        <v>1008408</v>
      </c>
      <c r="G1794" s="370">
        <f t="shared" ref="G1794:G1857" si="84">F1794/C1794</f>
        <v>9.6027395166642587E-6</v>
      </c>
      <c r="H1794" s="370">
        <f t="shared" ref="H1794:H1857" si="85">F1794/D1794</f>
        <v>1.6450009584338365E-5</v>
      </c>
      <c r="I1794" s="331">
        <v>4044330</v>
      </c>
      <c r="J1794" s="331">
        <v>0</v>
      </c>
      <c r="K1794" s="331">
        <f t="shared" ref="K1794:K1857" si="86">I1794-J1794</f>
        <v>4044330</v>
      </c>
      <c r="L1794" s="199">
        <v>1.7</v>
      </c>
      <c r="M1794" s="199">
        <v>2.44</v>
      </c>
    </row>
    <row r="1795" spans="1:13" ht="15" customHeight="1" x14ac:dyDescent="0.25">
      <c r="A1795" s="49">
        <v>2009</v>
      </c>
      <c r="B1795" s="330" t="s">
        <v>51</v>
      </c>
      <c r="C1795" s="331">
        <v>100708481401</v>
      </c>
      <c r="D1795" s="331">
        <v>59414137527</v>
      </c>
      <c r="E1795" s="331">
        <v>831416854</v>
      </c>
      <c r="F1795" s="331">
        <v>2484142</v>
      </c>
      <c r="G1795" s="370">
        <f t="shared" si="84"/>
        <v>2.4666661292495007E-5</v>
      </c>
      <c r="H1795" s="370">
        <f t="shared" si="85"/>
        <v>4.181062123254946E-5</v>
      </c>
      <c r="I1795" s="331">
        <v>2596130</v>
      </c>
      <c r="J1795" s="331">
        <v>0</v>
      </c>
      <c r="K1795" s="331">
        <f t="shared" si="86"/>
        <v>2596130</v>
      </c>
      <c r="L1795" s="199">
        <v>1.4</v>
      </c>
      <c r="M1795" s="199">
        <v>2.17</v>
      </c>
    </row>
    <row r="1796" spans="1:13" ht="15" customHeight="1" x14ac:dyDescent="0.25">
      <c r="A1796" s="49">
        <v>2010</v>
      </c>
      <c r="B1796" s="330" t="s">
        <v>51</v>
      </c>
      <c r="C1796" s="331">
        <v>101395162361</v>
      </c>
      <c r="D1796" s="331">
        <v>59445687941</v>
      </c>
      <c r="E1796" s="331">
        <v>1339599559</v>
      </c>
      <c r="F1796" s="331">
        <v>1705959</v>
      </c>
      <c r="G1796" s="370">
        <f t="shared" si="84"/>
        <v>1.6824855942596423E-5</v>
      </c>
      <c r="H1796" s="370">
        <f t="shared" si="85"/>
        <v>2.8697775382684925E-5</v>
      </c>
      <c r="I1796" s="331">
        <v>2392336</v>
      </c>
      <c r="J1796" s="331">
        <v>0</v>
      </c>
      <c r="K1796" s="331">
        <f t="shared" si="86"/>
        <v>2392336</v>
      </c>
      <c r="L1796" s="199">
        <v>2.2999999999999998</v>
      </c>
      <c r="M1796" s="199">
        <v>2.17</v>
      </c>
    </row>
    <row r="1797" spans="1:13" ht="15" customHeight="1" x14ac:dyDescent="0.25">
      <c r="A1797" s="49">
        <v>2011</v>
      </c>
      <c r="B1797" s="330" t="s">
        <v>51</v>
      </c>
      <c r="C1797" s="331">
        <v>107682463151</v>
      </c>
      <c r="D1797" s="331">
        <v>61906859078</v>
      </c>
      <c r="E1797" s="331">
        <v>1379955491</v>
      </c>
      <c r="F1797" s="331">
        <v>1186944</v>
      </c>
      <c r="G1797" s="370">
        <f t="shared" si="84"/>
        <v>1.1022630475452469E-5</v>
      </c>
      <c r="H1797" s="370">
        <f t="shared" si="85"/>
        <v>1.9173061235500595E-5</v>
      </c>
      <c r="I1797" s="331">
        <v>2647396</v>
      </c>
      <c r="J1797" s="331">
        <v>0</v>
      </c>
      <c r="K1797" s="331">
        <f t="shared" si="86"/>
        <v>2647396</v>
      </c>
      <c r="L1797" s="199">
        <v>2.2000000000000002</v>
      </c>
      <c r="M1797" s="199">
        <v>2.17</v>
      </c>
    </row>
    <row r="1798" spans="1:13" ht="15" customHeight="1" x14ac:dyDescent="0.25">
      <c r="A1798" s="49">
        <v>2012</v>
      </c>
      <c r="B1798" s="330" t="s">
        <v>51</v>
      </c>
      <c r="C1798" s="331">
        <v>114391822950</v>
      </c>
      <c r="D1798" s="331">
        <v>64953943509</v>
      </c>
      <c r="E1798" s="331">
        <v>1144259950</v>
      </c>
      <c r="F1798" s="331">
        <v>1166001</v>
      </c>
      <c r="G1798" s="370">
        <f t="shared" si="84"/>
        <v>1.0193045009079472E-5</v>
      </c>
      <c r="H1798" s="370">
        <f t="shared" si="85"/>
        <v>1.7951196447963766E-5</v>
      </c>
      <c r="I1798" s="331">
        <v>2718263</v>
      </c>
      <c r="J1798" s="331">
        <v>0</v>
      </c>
      <c r="K1798" s="331">
        <f t="shared" si="86"/>
        <v>2718263</v>
      </c>
      <c r="L1798" s="199">
        <v>1.76</v>
      </c>
      <c r="M1798" s="199">
        <v>2.17</v>
      </c>
    </row>
    <row r="1799" spans="1:13" ht="15" customHeight="1" x14ac:dyDescent="0.25">
      <c r="A1799" s="49">
        <v>2013</v>
      </c>
      <c r="B1799" s="330" t="s">
        <v>51</v>
      </c>
      <c r="C1799" s="331">
        <v>119928840244</v>
      </c>
      <c r="D1799" s="331">
        <v>69111833957</v>
      </c>
      <c r="E1799" s="331">
        <v>1269830726</v>
      </c>
      <c r="F1799" s="331">
        <v>1067099</v>
      </c>
      <c r="G1799" s="370">
        <f t="shared" si="84"/>
        <v>8.8977680250133714E-6</v>
      </c>
      <c r="H1799" s="370">
        <f t="shared" si="85"/>
        <v>1.5440177736622178E-5</v>
      </c>
      <c r="I1799" s="331">
        <v>3015547</v>
      </c>
      <c r="J1799" s="331">
        <v>0</v>
      </c>
      <c r="K1799" s="331">
        <f t="shared" si="86"/>
        <v>3015547</v>
      </c>
      <c r="L1799" s="199">
        <v>1.84</v>
      </c>
      <c r="M1799" s="199">
        <v>2.17</v>
      </c>
    </row>
    <row r="1800" spans="1:13" ht="15" customHeight="1" x14ac:dyDescent="0.25">
      <c r="A1800" s="49">
        <v>2014</v>
      </c>
      <c r="B1800" s="330" t="s">
        <v>51</v>
      </c>
      <c r="C1800" s="331">
        <v>128654710901</v>
      </c>
      <c r="D1800" s="331">
        <v>72722164625</v>
      </c>
      <c r="E1800" s="331">
        <v>1231770465</v>
      </c>
      <c r="F1800" s="331">
        <v>958839</v>
      </c>
      <c r="G1800" s="370">
        <f t="shared" si="84"/>
        <v>7.4528090987498162E-6</v>
      </c>
      <c r="H1800" s="370">
        <f t="shared" si="85"/>
        <v>1.3184962314369503E-5</v>
      </c>
      <c r="I1800" s="331">
        <v>3410343</v>
      </c>
      <c r="J1800" s="331">
        <v>0</v>
      </c>
      <c r="K1800" s="331">
        <f t="shared" si="86"/>
        <v>3410343</v>
      </c>
      <c r="L1800" s="333">
        <v>1.693803356035622</v>
      </c>
      <c r="M1800" s="199">
        <v>2.17</v>
      </c>
    </row>
    <row r="1801" spans="1:13" ht="15" customHeight="1" x14ac:dyDescent="0.25">
      <c r="A1801" s="49">
        <v>2015</v>
      </c>
      <c r="B1801" s="330" t="s">
        <v>51</v>
      </c>
      <c r="C1801" s="334">
        <v>135768736000</v>
      </c>
      <c r="D1801" s="334">
        <v>77756564000</v>
      </c>
      <c r="E1801" s="334">
        <v>1320991000</v>
      </c>
      <c r="F1801" s="331">
        <v>891602</v>
      </c>
      <c r="G1801" s="370">
        <f t="shared" si="84"/>
        <v>6.5670641582757312E-6</v>
      </c>
      <c r="H1801" s="370">
        <f t="shared" si="85"/>
        <v>1.1466581779513818E-5</v>
      </c>
      <c r="I1801" s="331">
        <v>3873638</v>
      </c>
      <c r="J1801" s="199">
        <v>0</v>
      </c>
      <c r="K1801" s="331">
        <f t="shared" si="86"/>
        <v>3873638</v>
      </c>
      <c r="L1801" s="199">
        <v>1.5</v>
      </c>
      <c r="M1801" s="199">
        <v>2.17</v>
      </c>
    </row>
    <row r="1802" spans="1:13" ht="15" customHeight="1" x14ac:dyDescent="0.25">
      <c r="A1802" s="49">
        <v>1980</v>
      </c>
      <c r="B1802" s="330" t="s">
        <v>52</v>
      </c>
      <c r="C1802" s="331">
        <v>20689559015</v>
      </c>
      <c r="D1802" s="331">
        <v>8662728075</v>
      </c>
      <c r="E1802" s="331">
        <v>221218056</v>
      </c>
      <c r="F1802" s="331">
        <v>449638</v>
      </c>
      <c r="G1802" s="370">
        <f t="shared" si="84"/>
        <v>2.173260433796636E-5</v>
      </c>
      <c r="H1802" s="370">
        <f t="shared" si="85"/>
        <v>5.1904896022030569E-5</v>
      </c>
      <c r="I1802" s="331">
        <v>270891</v>
      </c>
      <c r="J1802" s="331">
        <v>0</v>
      </c>
      <c r="K1802" s="331">
        <f t="shared" si="86"/>
        <v>270891</v>
      </c>
      <c r="L1802" s="199">
        <v>2.5499999999999998</v>
      </c>
      <c r="M1802" s="199">
        <v>2.0299999999999998</v>
      </c>
    </row>
    <row r="1803" spans="1:13" ht="15" customHeight="1" x14ac:dyDescent="0.25">
      <c r="A1803" s="49">
        <v>1981</v>
      </c>
      <c r="B1803" s="330" t="s">
        <v>52</v>
      </c>
      <c r="C1803" s="331">
        <v>22056520454</v>
      </c>
      <c r="D1803" s="331">
        <v>8655309539</v>
      </c>
      <c r="E1803" s="331">
        <v>211517498</v>
      </c>
      <c r="F1803" s="331">
        <v>420318</v>
      </c>
      <c r="G1803" s="370">
        <f t="shared" si="84"/>
        <v>1.9056405604709713E-5</v>
      </c>
      <c r="H1803" s="370">
        <f t="shared" si="85"/>
        <v>4.856186807717126E-5</v>
      </c>
      <c r="I1803" s="331">
        <v>54183</v>
      </c>
      <c r="J1803" s="331">
        <v>0</v>
      </c>
      <c r="K1803" s="331">
        <f t="shared" si="86"/>
        <v>54183</v>
      </c>
      <c r="L1803" s="199">
        <v>2.44</v>
      </c>
      <c r="M1803" s="199">
        <v>2.16</v>
      </c>
    </row>
    <row r="1804" spans="1:13" ht="15" customHeight="1" x14ac:dyDescent="0.25">
      <c r="A1804" s="49">
        <v>1982</v>
      </c>
      <c r="B1804" s="330" t="s">
        <v>52</v>
      </c>
      <c r="C1804" s="331">
        <v>22183993807</v>
      </c>
      <c r="D1804" s="331">
        <v>8391182345</v>
      </c>
      <c r="E1804" s="331">
        <v>222810504</v>
      </c>
      <c r="F1804" s="331">
        <v>629275</v>
      </c>
      <c r="G1804" s="370">
        <f t="shared" si="84"/>
        <v>2.8366172722309216E-5</v>
      </c>
      <c r="H1804" s="370">
        <f t="shared" si="85"/>
        <v>7.4992411572960516E-5</v>
      </c>
      <c r="I1804" s="331">
        <v>0</v>
      </c>
      <c r="J1804" s="331">
        <v>412947</v>
      </c>
      <c r="K1804" s="331">
        <f t="shared" si="86"/>
        <v>-412947</v>
      </c>
      <c r="L1804" s="199">
        <v>2.66</v>
      </c>
      <c r="M1804" s="199">
        <v>2.54</v>
      </c>
    </row>
    <row r="1805" spans="1:13" ht="15" customHeight="1" x14ac:dyDescent="0.25">
      <c r="A1805" s="49">
        <v>1983</v>
      </c>
      <c r="B1805" s="330" t="s">
        <v>52</v>
      </c>
      <c r="C1805" s="331">
        <v>23077970391</v>
      </c>
      <c r="D1805" s="331">
        <v>10502160130</v>
      </c>
      <c r="E1805" s="331">
        <v>305101573</v>
      </c>
      <c r="F1805" s="331">
        <v>486952</v>
      </c>
      <c r="G1805" s="370">
        <f t="shared" si="84"/>
        <v>2.1100295725741232E-5</v>
      </c>
      <c r="H1805" s="370">
        <f t="shared" si="85"/>
        <v>4.6366842056520807E-5</v>
      </c>
      <c r="I1805" s="331">
        <v>79</v>
      </c>
      <c r="J1805" s="331">
        <v>627635</v>
      </c>
      <c r="K1805" s="331">
        <f t="shared" si="86"/>
        <v>-627556</v>
      </c>
      <c r="L1805" s="199">
        <v>2.91</v>
      </c>
      <c r="M1805" s="199">
        <v>2.54</v>
      </c>
    </row>
    <row r="1806" spans="1:13" ht="15" customHeight="1" x14ac:dyDescent="0.25">
      <c r="A1806" s="49">
        <v>1984</v>
      </c>
      <c r="B1806" s="330" t="s">
        <v>52</v>
      </c>
      <c r="C1806" s="331">
        <v>25470816797</v>
      </c>
      <c r="D1806" s="331">
        <v>12545478103</v>
      </c>
      <c r="E1806" s="331">
        <v>579801336</v>
      </c>
      <c r="F1806" s="331">
        <v>340755</v>
      </c>
      <c r="G1806" s="370">
        <f t="shared" si="84"/>
        <v>1.3378251774012003E-5</v>
      </c>
      <c r="H1806" s="370">
        <f t="shared" si="85"/>
        <v>2.716157943143795E-5</v>
      </c>
      <c r="I1806" s="331">
        <v>124301</v>
      </c>
      <c r="J1806" s="331">
        <v>534474</v>
      </c>
      <c r="K1806" s="331">
        <f t="shared" si="86"/>
        <v>-410173</v>
      </c>
      <c r="L1806" s="199">
        <v>4.62</v>
      </c>
      <c r="M1806" s="199">
        <v>2.54</v>
      </c>
    </row>
    <row r="1807" spans="1:13" ht="15" customHeight="1" x14ac:dyDescent="0.25">
      <c r="A1807" s="49">
        <v>1985</v>
      </c>
      <c r="B1807" s="330" t="s">
        <v>52</v>
      </c>
      <c r="C1807" s="331">
        <v>26720298558</v>
      </c>
      <c r="D1807" s="331">
        <v>12818844579</v>
      </c>
      <c r="E1807" s="331">
        <v>560393049</v>
      </c>
      <c r="F1807" s="331">
        <v>400712</v>
      </c>
      <c r="G1807" s="370">
        <f t="shared" si="84"/>
        <v>1.4996539021830192E-5</v>
      </c>
      <c r="H1807" s="370">
        <f t="shared" si="85"/>
        <v>3.1259603588333672E-5</v>
      </c>
      <c r="I1807" s="331">
        <v>87508</v>
      </c>
      <c r="J1807" s="331">
        <v>327797</v>
      </c>
      <c r="K1807" s="331">
        <f t="shared" si="86"/>
        <v>-240289</v>
      </c>
      <c r="L1807" s="199">
        <v>4.37</v>
      </c>
      <c r="M1807" s="199">
        <v>2.54</v>
      </c>
    </row>
    <row r="1808" spans="1:13" ht="15" customHeight="1" x14ac:dyDescent="0.25">
      <c r="A1808" s="49">
        <v>1986</v>
      </c>
      <c r="B1808" s="330" t="s">
        <v>52</v>
      </c>
      <c r="C1808" s="331">
        <v>28196725333</v>
      </c>
      <c r="D1808" s="331">
        <v>14106951009</v>
      </c>
      <c r="E1808" s="331">
        <v>652247548</v>
      </c>
      <c r="F1808" s="331">
        <v>347297</v>
      </c>
      <c r="G1808" s="370">
        <f t="shared" si="84"/>
        <v>1.2316926731684739E-5</v>
      </c>
      <c r="H1808" s="370">
        <f t="shared" si="85"/>
        <v>2.4618856319727082E-5</v>
      </c>
      <c r="I1808" s="331">
        <v>67615</v>
      </c>
      <c r="J1808" s="331">
        <v>0</v>
      </c>
      <c r="K1808" s="331">
        <f t="shared" si="86"/>
        <v>67615</v>
      </c>
      <c r="L1808" s="199">
        <v>4.62</v>
      </c>
      <c r="M1808" s="199">
        <v>2.54</v>
      </c>
    </row>
    <row r="1809" spans="1:13" ht="15" customHeight="1" x14ac:dyDescent="0.25">
      <c r="A1809" s="49">
        <v>1987</v>
      </c>
      <c r="B1809" s="330" t="s">
        <v>52</v>
      </c>
      <c r="C1809" s="331">
        <v>30296222790</v>
      </c>
      <c r="D1809" s="331">
        <v>14756102492</v>
      </c>
      <c r="E1809" s="331">
        <v>623700695</v>
      </c>
      <c r="F1809" s="331">
        <v>302809</v>
      </c>
      <c r="G1809" s="370">
        <f t="shared" si="84"/>
        <v>9.9949423431078491E-6</v>
      </c>
      <c r="H1809" s="370">
        <f t="shared" si="85"/>
        <v>2.0520933638416205E-5</v>
      </c>
      <c r="I1809" s="331">
        <v>404440</v>
      </c>
      <c r="J1809" s="331">
        <v>0</v>
      </c>
      <c r="K1809" s="331">
        <f t="shared" si="86"/>
        <v>404440</v>
      </c>
      <c r="L1809" s="199">
        <v>4.2300000000000004</v>
      </c>
      <c r="M1809" s="199">
        <v>2.54</v>
      </c>
    </row>
    <row r="1810" spans="1:13" ht="15" customHeight="1" x14ac:dyDescent="0.25">
      <c r="A1810" s="49">
        <v>1988</v>
      </c>
      <c r="B1810" s="330" t="s">
        <v>52</v>
      </c>
      <c r="C1810" s="331">
        <v>32896408968</v>
      </c>
      <c r="D1810" s="331">
        <v>15533027189</v>
      </c>
      <c r="E1810" s="331">
        <v>549846702</v>
      </c>
      <c r="F1810" s="331">
        <v>265367</v>
      </c>
      <c r="G1810" s="370">
        <f t="shared" si="84"/>
        <v>8.0667467460699397E-6</v>
      </c>
      <c r="H1810" s="370">
        <f t="shared" si="85"/>
        <v>1.7084049153530392E-5</v>
      </c>
      <c r="I1810" s="331">
        <v>755575</v>
      </c>
      <c r="J1810" s="331">
        <v>0</v>
      </c>
      <c r="K1810" s="331">
        <f t="shared" si="86"/>
        <v>755575</v>
      </c>
      <c r="L1810" s="199">
        <v>3.54</v>
      </c>
      <c r="M1810" s="199">
        <v>2.54</v>
      </c>
    </row>
    <row r="1811" spans="1:13" ht="15" customHeight="1" x14ac:dyDescent="0.25">
      <c r="A1811" s="49">
        <v>1989</v>
      </c>
      <c r="B1811" s="330" t="s">
        <v>52</v>
      </c>
      <c r="C1811" s="331">
        <v>34643963327</v>
      </c>
      <c r="D1811" s="331">
        <v>16192071305</v>
      </c>
      <c r="E1811" s="331">
        <v>495414149</v>
      </c>
      <c r="F1811" s="331">
        <v>300687</v>
      </c>
      <c r="G1811" s="370">
        <f t="shared" si="84"/>
        <v>8.6793476012502765E-6</v>
      </c>
      <c r="H1811" s="370">
        <f t="shared" si="85"/>
        <v>1.8570014566768239E-5</v>
      </c>
      <c r="I1811" s="331">
        <v>1040969</v>
      </c>
      <c r="J1811" s="331">
        <v>0</v>
      </c>
      <c r="K1811" s="331">
        <f t="shared" si="86"/>
        <v>1040969</v>
      </c>
      <c r="L1811" s="199">
        <v>3.06</v>
      </c>
      <c r="M1811" s="199">
        <v>2.54</v>
      </c>
    </row>
    <row r="1812" spans="1:13" ht="15" customHeight="1" x14ac:dyDescent="0.25">
      <c r="A1812" s="49">
        <v>1990</v>
      </c>
      <c r="B1812" s="330" t="s">
        <v>52</v>
      </c>
      <c r="C1812" s="331">
        <v>37014182480</v>
      </c>
      <c r="D1812" s="331">
        <v>16838719932</v>
      </c>
      <c r="E1812" s="331">
        <v>402001988</v>
      </c>
      <c r="F1812" s="331">
        <v>342199</v>
      </c>
      <c r="G1812" s="370">
        <f t="shared" si="84"/>
        <v>9.2450778883175815E-6</v>
      </c>
      <c r="H1812" s="370">
        <f t="shared" si="85"/>
        <v>2.0322150459293001E-5</v>
      </c>
      <c r="I1812" s="331">
        <v>1210154</v>
      </c>
      <c r="J1812" s="331">
        <v>0</v>
      </c>
      <c r="K1812" s="331">
        <f t="shared" si="86"/>
        <v>1210154</v>
      </c>
      <c r="L1812" s="199">
        <v>2.39</v>
      </c>
      <c r="M1812" s="199">
        <v>2.54</v>
      </c>
    </row>
    <row r="1813" spans="1:13" ht="15" customHeight="1" x14ac:dyDescent="0.25">
      <c r="A1813" s="49">
        <v>1991</v>
      </c>
      <c r="B1813" s="330" t="s">
        <v>52</v>
      </c>
      <c r="C1813" s="331">
        <v>38208834262</v>
      </c>
      <c r="D1813" s="331">
        <v>17084971589</v>
      </c>
      <c r="E1813" s="331">
        <v>338697633</v>
      </c>
      <c r="F1813" s="331">
        <v>478116</v>
      </c>
      <c r="G1813" s="370">
        <f t="shared" si="84"/>
        <v>1.2513231801879463E-5</v>
      </c>
      <c r="H1813" s="370">
        <f t="shared" si="85"/>
        <v>2.7984594385151366E-5</v>
      </c>
      <c r="I1813" s="331">
        <v>1171822</v>
      </c>
      <c r="J1813" s="331">
        <v>0</v>
      </c>
      <c r="K1813" s="331">
        <f t="shared" si="86"/>
        <v>1171822</v>
      </c>
      <c r="L1813" s="199">
        <v>1.98</v>
      </c>
      <c r="M1813" s="199">
        <v>2.54</v>
      </c>
    </row>
    <row r="1814" spans="1:13" ht="15" customHeight="1" x14ac:dyDescent="0.25">
      <c r="A1814" s="49">
        <v>1992</v>
      </c>
      <c r="B1814" s="330" t="s">
        <v>52</v>
      </c>
      <c r="C1814" s="331">
        <v>41212419349</v>
      </c>
      <c r="D1814" s="331">
        <v>17522566956</v>
      </c>
      <c r="E1814" s="331">
        <v>356875785</v>
      </c>
      <c r="F1814" s="331">
        <v>435457</v>
      </c>
      <c r="G1814" s="370">
        <f t="shared" si="84"/>
        <v>1.0566159591661201E-5</v>
      </c>
      <c r="H1814" s="370">
        <f t="shared" si="85"/>
        <v>2.4851210504342957E-5</v>
      </c>
      <c r="I1814" s="331">
        <v>1194553</v>
      </c>
      <c r="J1814" s="331">
        <v>0</v>
      </c>
      <c r="K1814" s="331">
        <f t="shared" si="86"/>
        <v>1194553</v>
      </c>
      <c r="L1814" s="199">
        <v>2.04</v>
      </c>
      <c r="M1814" s="199">
        <v>2.54</v>
      </c>
    </row>
    <row r="1815" spans="1:13" ht="15" customHeight="1" x14ac:dyDescent="0.25">
      <c r="A1815" s="49">
        <v>1993</v>
      </c>
      <c r="B1815" s="330" t="s">
        <v>52</v>
      </c>
      <c r="C1815" s="331">
        <v>43217584119</v>
      </c>
      <c r="D1815" s="331">
        <v>18094723025</v>
      </c>
      <c r="E1815" s="331">
        <v>388974196</v>
      </c>
      <c r="F1815" s="331">
        <v>392275</v>
      </c>
      <c r="G1815" s="370">
        <f t="shared" si="84"/>
        <v>9.0767452183321328E-6</v>
      </c>
      <c r="H1815" s="370">
        <f t="shared" si="85"/>
        <v>2.1678972342269385E-5</v>
      </c>
      <c r="I1815" s="331">
        <v>1241918</v>
      </c>
      <c r="J1815" s="331">
        <v>0</v>
      </c>
      <c r="K1815" s="331">
        <f t="shared" si="86"/>
        <v>1241918</v>
      </c>
      <c r="L1815" s="199">
        <v>2.15</v>
      </c>
      <c r="M1815" s="199">
        <v>2.54</v>
      </c>
    </row>
    <row r="1816" spans="1:13" ht="15" customHeight="1" x14ac:dyDescent="0.25">
      <c r="A1816" s="49">
        <v>1994</v>
      </c>
      <c r="B1816" s="330" t="s">
        <v>52</v>
      </c>
      <c r="C1816" s="331">
        <v>46208264134</v>
      </c>
      <c r="D1816" s="331">
        <v>18993186618</v>
      </c>
      <c r="E1816" s="331">
        <v>413837193</v>
      </c>
      <c r="F1816" s="331">
        <v>375691</v>
      </c>
      <c r="G1816" s="370">
        <f t="shared" si="84"/>
        <v>8.130385484954128E-6</v>
      </c>
      <c r="H1816" s="370">
        <f t="shared" si="85"/>
        <v>1.9780303724492158E-5</v>
      </c>
      <c r="I1816" s="331">
        <v>1400119</v>
      </c>
      <c r="J1816" s="331">
        <v>0</v>
      </c>
      <c r="K1816" s="331">
        <f t="shared" si="86"/>
        <v>1400119</v>
      </c>
      <c r="L1816" s="199">
        <v>2.1800000000000002</v>
      </c>
      <c r="M1816" s="199">
        <v>2.54</v>
      </c>
    </row>
    <row r="1817" spans="1:13" ht="15" customHeight="1" x14ac:dyDescent="0.25">
      <c r="A1817" s="49">
        <v>1995</v>
      </c>
      <c r="B1817" s="330" t="s">
        <v>52</v>
      </c>
      <c r="C1817" s="331">
        <v>49104079545</v>
      </c>
      <c r="D1817" s="331">
        <v>19762459166</v>
      </c>
      <c r="E1817" s="331">
        <v>412148114</v>
      </c>
      <c r="F1817" s="331">
        <v>416647</v>
      </c>
      <c r="G1817" s="370">
        <f t="shared" si="84"/>
        <v>8.4849772943646368E-6</v>
      </c>
      <c r="H1817" s="370">
        <f t="shared" si="85"/>
        <v>2.108275070932536E-5</v>
      </c>
      <c r="I1817" s="331">
        <v>1503641</v>
      </c>
      <c r="J1817" s="331">
        <v>0</v>
      </c>
      <c r="K1817" s="331">
        <f t="shared" si="86"/>
        <v>1503641</v>
      </c>
      <c r="L1817" s="199">
        <v>2.09</v>
      </c>
      <c r="M1817" s="199">
        <v>2.54</v>
      </c>
    </row>
    <row r="1818" spans="1:13" ht="15" customHeight="1" x14ac:dyDescent="0.25">
      <c r="A1818" s="49">
        <v>1996</v>
      </c>
      <c r="B1818" s="330" t="s">
        <v>52</v>
      </c>
      <c r="C1818" s="331">
        <v>51880865390</v>
      </c>
      <c r="D1818" s="331">
        <v>20320610917</v>
      </c>
      <c r="E1818" s="331">
        <v>409902682</v>
      </c>
      <c r="F1818" s="331">
        <v>469636</v>
      </c>
      <c r="G1818" s="370">
        <f t="shared" si="84"/>
        <v>9.0522005843511247E-6</v>
      </c>
      <c r="H1818" s="370">
        <f t="shared" si="85"/>
        <v>2.3111313036711298E-5</v>
      </c>
      <c r="I1818" s="331">
        <v>1556922</v>
      </c>
      <c r="J1818" s="331">
        <v>0</v>
      </c>
      <c r="K1818" s="331">
        <f t="shared" si="86"/>
        <v>1556922</v>
      </c>
      <c r="L1818" s="199">
        <v>2.02</v>
      </c>
      <c r="M1818" s="199">
        <v>2.54</v>
      </c>
    </row>
    <row r="1819" spans="1:13" ht="15" customHeight="1" x14ac:dyDescent="0.25">
      <c r="A1819" s="49">
        <v>1997</v>
      </c>
      <c r="B1819" s="330" t="s">
        <v>52</v>
      </c>
      <c r="C1819" s="331">
        <v>55973311889</v>
      </c>
      <c r="D1819" s="331">
        <v>21121260339</v>
      </c>
      <c r="E1819" s="331">
        <v>414254391</v>
      </c>
      <c r="F1819" s="331">
        <v>442374</v>
      </c>
      <c r="G1819" s="370">
        <f t="shared" si="84"/>
        <v>7.9033022179796428E-6</v>
      </c>
      <c r="H1819" s="370">
        <f t="shared" si="85"/>
        <v>2.0944488771021155E-5</v>
      </c>
      <c r="I1819" s="331">
        <v>1632214</v>
      </c>
      <c r="J1819" s="331">
        <v>0</v>
      </c>
      <c r="K1819" s="331">
        <f t="shared" si="86"/>
        <v>1632214</v>
      </c>
      <c r="L1819" s="199">
        <v>1.96</v>
      </c>
      <c r="M1819" s="199">
        <v>2.54</v>
      </c>
    </row>
    <row r="1820" spans="1:13" ht="15" customHeight="1" x14ac:dyDescent="0.25">
      <c r="A1820" s="49">
        <v>1998</v>
      </c>
      <c r="B1820" s="330" t="s">
        <v>52</v>
      </c>
      <c r="C1820" s="331">
        <v>59747796630</v>
      </c>
      <c r="D1820" s="331">
        <v>22002070969</v>
      </c>
      <c r="E1820" s="331">
        <v>408049095</v>
      </c>
      <c r="F1820" s="331">
        <v>443860</v>
      </c>
      <c r="G1820" s="370">
        <f t="shared" si="84"/>
        <v>7.428893198333162E-6</v>
      </c>
      <c r="H1820" s="370">
        <f t="shared" si="85"/>
        <v>2.0173555508723712E-5</v>
      </c>
      <c r="I1820" s="331">
        <v>1708174</v>
      </c>
      <c r="J1820" s="331">
        <v>0</v>
      </c>
      <c r="K1820" s="331">
        <f t="shared" si="86"/>
        <v>1708174</v>
      </c>
      <c r="L1820" s="199">
        <v>1.85</v>
      </c>
      <c r="M1820" s="199">
        <v>2.54</v>
      </c>
    </row>
    <row r="1821" spans="1:13" x14ac:dyDescent="0.25">
      <c r="A1821" s="49">
        <v>1999</v>
      </c>
      <c r="B1821" s="330" t="s">
        <v>52</v>
      </c>
      <c r="C1821" s="331">
        <v>63519551831</v>
      </c>
      <c r="D1821" s="331">
        <v>22645479691</v>
      </c>
      <c r="E1821" s="331">
        <v>426452856</v>
      </c>
      <c r="F1821" s="331">
        <v>456092</v>
      </c>
      <c r="G1821" s="370">
        <f t="shared" si="84"/>
        <v>7.1803403338467739E-6</v>
      </c>
      <c r="H1821" s="370">
        <f t="shared" si="85"/>
        <v>2.0140531630304338E-5</v>
      </c>
      <c r="I1821" s="331">
        <v>1763548</v>
      </c>
      <c r="J1821" s="331">
        <v>0</v>
      </c>
      <c r="K1821" s="331">
        <f t="shared" si="86"/>
        <v>1763548</v>
      </c>
      <c r="L1821" s="199">
        <v>1.88</v>
      </c>
      <c r="M1821" s="199">
        <v>2.54</v>
      </c>
    </row>
    <row r="1822" spans="1:13" ht="15" customHeight="1" x14ac:dyDescent="0.25">
      <c r="A1822" s="49">
        <v>2000</v>
      </c>
      <c r="B1822" s="330" t="s">
        <v>52</v>
      </c>
      <c r="C1822" s="331">
        <v>66771002467</v>
      </c>
      <c r="D1822" s="331">
        <v>23290173979</v>
      </c>
      <c r="E1822" s="331">
        <v>434883365</v>
      </c>
      <c r="F1822" s="331">
        <v>508046</v>
      </c>
      <c r="G1822" s="370">
        <f t="shared" si="84"/>
        <v>7.6087819746467011E-6</v>
      </c>
      <c r="H1822" s="370">
        <f t="shared" si="85"/>
        <v>2.1813748598790578E-5</v>
      </c>
      <c r="I1822" s="331">
        <v>1834982</v>
      </c>
      <c r="J1822" s="331">
        <v>0</v>
      </c>
      <c r="K1822" s="331">
        <f t="shared" si="86"/>
        <v>1834982</v>
      </c>
      <c r="L1822" s="199">
        <v>1.87</v>
      </c>
      <c r="M1822" s="199">
        <v>2.54</v>
      </c>
    </row>
    <row r="1823" spans="1:13" ht="15" customHeight="1" x14ac:dyDescent="0.25">
      <c r="A1823" s="49">
        <v>2001</v>
      </c>
      <c r="B1823" s="330" t="s">
        <v>52</v>
      </c>
      <c r="C1823" s="331">
        <v>67472764996</v>
      </c>
      <c r="D1823" s="331">
        <v>23002486756</v>
      </c>
      <c r="E1823" s="331">
        <v>424045649</v>
      </c>
      <c r="F1823" s="331">
        <v>788156</v>
      </c>
      <c r="G1823" s="370">
        <f t="shared" si="84"/>
        <v>1.1681098292721876E-5</v>
      </c>
      <c r="H1823" s="370">
        <f t="shared" si="85"/>
        <v>3.4263947561861604E-5</v>
      </c>
      <c r="I1823" s="331">
        <v>1585127</v>
      </c>
      <c r="J1823" s="331">
        <v>0</v>
      </c>
      <c r="K1823" s="331">
        <f t="shared" si="86"/>
        <v>1585127</v>
      </c>
      <c r="L1823" s="199">
        <v>1.84</v>
      </c>
      <c r="M1823" s="199">
        <v>2.4500000000000002</v>
      </c>
    </row>
    <row r="1824" spans="1:13" ht="15" customHeight="1" x14ac:dyDescent="0.25">
      <c r="A1824" s="49">
        <v>2002</v>
      </c>
      <c r="B1824" s="330" t="s">
        <v>52</v>
      </c>
      <c r="C1824" s="331">
        <v>68168693504</v>
      </c>
      <c r="D1824" s="331">
        <v>22504251418</v>
      </c>
      <c r="E1824" s="331">
        <v>431611878</v>
      </c>
      <c r="F1824" s="331">
        <v>946629</v>
      </c>
      <c r="G1824" s="370">
        <f t="shared" si="84"/>
        <v>1.3886565098162748E-5</v>
      </c>
      <c r="H1824" s="370">
        <f t="shared" si="85"/>
        <v>4.206445184143472E-5</v>
      </c>
      <c r="I1824" s="331">
        <v>1327679</v>
      </c>
      <c r="J1824" s="331">
        <v>0</v>
      </c>
      <c r="K1824" s="331">
        <f t="shared" si="86"/>
        <v>1327679</v>
      </c>
      <c r="L1824" s="199">
        <v>1.92</v>
      </c>
      <c r="M1824" s="199">
        <v>2.4500000000000002</v>
      </c>
    </row>
    <row r="1825" spans="1:13" ht="15" customHeight="1" x14ac:dyDescent="0.25">
      <c r="A1825" s="49">
        <v>2003</v>
      </c>
      <c r="B1825" s="330" t="s">
        <v>52</v>
      </c>
      <c r="C1825" s="331">
        <v>69593891977</v>
      </c>
      <c r="D1825" s="331">
        <v>22395080476</v>
      </c>
      <c r="E1825" s="331">
        <v>498124850</v>
      </c>
      <c r="F1825" s="331">
        <v>929991</v>
      </c>
      <c r="G1825" s="370">
        <f t="shared" si="84"/>
        <v>1.3363112387899669E-5</v>
      </c>
      <c r="H1825" s="370">
        <f t="shared" si="85"/>
        <v>4.1526575490391197E-5</v>
      </c>
      <c r="I1825" s="331">
        <v>961664</v>
      </c>
      <c r="J1825" s="331">
        <v>0</v>
      </c>
      <c r="K1825" s="331">
        <f t="shared" si="86"/>
        <v>961664</v>
      </c>
      <c r="L1825" s="199">
        <v>2.2200000000000002</v>
      </c>
      <c r="M1825" s="199">
        <v>2.4500000000000002</v>
      </c>
    </row>
    <row r="1826" spans="1:13" ht="15" customHeight="1" x14ac:dyDescent="0.25">
      <c r="A1826" s="49">
        <v>2004</v>
      </c>
      <c r="B1826" s="330" t="s">
        <v>52</v>
      </c>
      <c r="C1826" s="331">
        <v>73334769182</v>
      </c>
      <c r="D1826" s="331">
        <v>22951470939</v>
      </c>
      <c r="E1826" s="331">
        <v>606346724</v>
      </c>
      <c r="F1826" s="331">
        <v>801604</v>
      </c>
      <c r="G1826" s="370">
        <f t="shared" si="84"/>
        <v>1.0930749614969177E-5</v>
      </c>
      <c r="H1826" s="370">
        <f t="shared" si="85"/>
        <v>3.4926040345322024E-5</v>
      </c>
      <c r="I1826" s="331">
        <v>800177</v>
      </c>
      <c r="J1826" s="331">
        <v>0</v>
      </c>
      <c r="K1826" s="331">
        <f t="shared" si="86"/>
        <v>800177</v>
      </c>
      <c r="L1826" s="199">
        <v>2.64</v>
      </c>
      <c r="M1826" s="199">
        <v>2.4500000000000002</v>
      </c>
    </row>
    <row r="1827" spans="1:13" ht="15" customHeight="1" x14ac:dyDescent="0.25">
      <c r="A1827" s="49">
        <v>2005</v>
      </c>
      <c r="B1827" s="330" t="s">
        <v>52</v>
      </c>
      <c r="C1827" s="331">
        <v>75747390540</v>
      </c>
      <c r="D1827" s="331">
        <v>23419103651</v>
      </c>
      <c r="E1827" s="331">
        <v>690315505</v>
      </c>
      <c r="F1827" s="331">
        <v>751845</v>
      </c>
      <c r="G1827" s="370">
        <f t="shared" si="84"/>
        <v>9.9256884579142353E-6</v>
      </c>
      <c r="H1827" s="370">
        <f t="shared" si="85"/>
        <v>3.2103918715432818E-5</v>
      </c>
      <c r="I1827" s="331">
        <v>769088</v>
      </c>
      <c r="J1827" s="331">
        <v>0</v>
      </c>
      <c r="K1827" s="331">
        <f t="shared" si="86"/>
        <v>769088</v>
      </c>
      <c r="L1827" s="199">
        <v>2.95</v>
      </c>
      <c r="M1827" s="199">
        <v>2.4500000000000002</v>
      </c>
    </row>
    <row r="1828" spans="1:13" ht="15" customHeight="1" x14ac:dyDescent="0.25">
      <c r="A1828" s="49">
        <v>2006</v>
      </c>
      <c r="B1828" s="330" t="s">
        <v>52</v>
      </c>
      <c r="C1828" s="331">
        <v>79260158956</v>
      </c>
      <c r="D1828" s="331">
        <v>23806802846</v>
      </c>
      <c r="E1828" s="331">
        <v>682809775</v>
      </c>
      <c r="F1828" s="331">
        <v>749653</v>
      </c>
      <c r="G1828" s="370">
        <f t="shared" si="84"/>
        <v>9.4581314228269176E-6</v>
      </c>
      <c r="H1828" s="370">
        <f t="shared" si="85"/>
        <v>3.1489024580465921E-5</v>
      </c>
      <c r="I1828" s="331">
        <v>733017</v>
      </c>
      <c r="J1828" s="331">
        <v>0</v>
      </c>
      <c r="K1828" s="331">
        <f t="shared" si="86"/>
        <v>733017</v>
      </c>
      <c r="L1828" s="199">
        <v>2.87</v>
      </c>
      <c r="M1828" s="199">
        <v>2.4500000000000002</v>
      </c>
    </row>
    <row r="1829" spans="1:13" ht="15" customHeight="1" x14ac:dyDescent="0.25">
      <c r="A1829" s="49">
        <v>2007</v>
      </c>
      <c r="B1829" s="330" t="s">
        <v>52</v>
      </c>
      <c r="C1829" s="331">
        <v>82117803114</v>
      </c>
      <c r="D1829" s="331">
        <v>24007214038</v>
      </c>
      <c r="E1829" s="331">
        <v>644802495</v>
      </c>
      <c r="F1829" s="331">
        <v>840952</v>
      </c>
      <c r="G1829" s="370">
        <f t="shared" si="84"/>
        <v>1.0240800022773975E-5</v>
      </c>
      <c r="H1829" s="370">
        <f t="shared" si="85"/>
        <v>3.5029137436309471E-5</v>
      </c>
      <c r="I1829" s="331">
        <v>592228</v>
      </c>
      <c r="J1829" s="331">
        <v>0</v>
      </c>
      <c r="K1829" s="331">
        <f t="shared" si="86"/>
        <v>592228</v>
      </c>
      <c r="L1829" s="199">
        <v>2.69</v>
      </c>
      <c r="M1829" s="199">
        <v>2.4500000000000002</v>
      </c>
    </row>
    <row r="1830" spans="1:13" ht="15" customHeight="1" x14ac:dyDescent="0.25">
      <c r="A1830" s="49">
        <v>2008</v>
      </c>
      <c r="B1830" s="330" t="s">
        <v>52</v>
      </c>
      <c r="C1830" s="331">
        <v>83328319258</v>
      </c>
      <c r="D1830" s="331">
        <v>23835681758</v>
      </c>
      <c r="E1830" s="331">
        <v>619880249</v>
      </c>
      <c r="F1830" s="331">
        <v>997815</v>
      </c>
      <c r="G1830" s="370">
        <f t="shared" si="84"/>
        <v>1.1974500492570586E-5</v>
      </c>
      <c r="H1830" s="370">
        <f t="shared" si="85"/>
        <v>4.1862238728082617E-5</v>
      </c>
      <c r="I1830" s="331">
        <v>234746</v>
      </c>
      <c r="J1830" s="331">
        <v>0</v>
      </c>
      <c r="K1830" s="331">
        <f t="shared" si="86"/>
        <v>234746</v>
      </c>
      <c r="L1830" s="199">
        <v>2.6</v>
      </c>
      <c r="M1830" s="199">
        <v>2.4500000000000002</v>
      </c>
    </row>
    <row r="1831" spans="1:13" ht="15" customHeight="1" x14ac:dyDescent="0.25">
      <c r="A1831" s="49">
        <v>2009</v>
      </c>
      <c r="B1831" s="330" t="s">
        <v>52</v>
      </c>
      <c r="C1831" s="331">
        <v>77418514383</v>
      </c>
      <c r="D1831" s="331">
        <v>24423564110</v>
      </c>
      <c r="E1831" s="331">
        <v>636411996</v>
      </c>
      <c r="F1831" s="331">
        <v>1865387</v>
      </c>
      <c r="G1831" s="370">
        <f t="shared" si="84"/>
        <v>2.4094843654215254E-5</v>
      </c>
      <c r="H1831" s="370">
        <f t="shared" si="85"/>
        <v>7.6376526849176565E-5</v>
      </c>
      <c r="I1831" s="331">
        <v>26294</v>
      </c>
      <c r="J1831" s="331">
        <v>922008</v>
      </c>
      <c r="K1831" s="331">
        <f t="shared" si="86"/>
        <v>-895714</v>
      </c>
      <c r="L1831" s="199">
        <v>2.6</v>
      </c>
      <c r="M1831" s="199">
        <v>1.71</v>
      </c>
    </row>
    <row r="1832" spans="1:13" ht="15" customHeight="1" x14ac:dyDescent="0.25">
      <c r="A1832" s="49">
        <v>2010</v>
      </c>
      <c r="B1832" s="330" t="s">
        <v>52</v>
      </c>
      <c r="C1832" s="331">
        <v>78616967071</v>
      </c>
      <c r="D1832" s="331">
        <v>24478283945</v>
      </c>
      <c r="E1832" s="331">
        <v>878874610</v>
      </c>
      <c r="F1832" s="331">
        <v>1291327</v>
      </c>
      <c r="G1832" s="370">
        <f t="shared" si="84"/>
        <v>1.642555097341501E-5</v>
      </c>
      <c r="H1832" s="370">
        <f t="shared" si="85"/>
        <v>5.2753984017076895E-5</v>
      </c>
      <c r="I1832" s="331">
        <v>39472</v>
      </c>
      <c r="J1832" s="331">
        <v>1400851</v>
      </c>
      <c r="K1832" s="331">
        <f t="shared" si="86"/>
        <v>-1361379</v>
      </c>
      <c r="L1832" s="199">
        <v>3.6</v>
      </c>
      <c r="M1832" s="199">
        <v>1.81</v>
      </c>
    </row>
    <row r="1833" spans="1:13" ht="15" customHeight="1" x14ac:dyDescent="0.25">
      <c r="A1833" s="49">
        <v>2011</v>
      </c>
      <c r="B1833" s="330" t="s">
        <v>52</v>
      </c>
      <c r="C1833" s="331">
        <v>82113510742</v>
      </c>
      <c r="D1833" s="331">
        <v>26640238234</v>
      </c>
      <c r="E1833" s="331">
        <v>1134375767</v>
      </c>
      <c r="F1833" s="331">
        <v>1013755</v>
      </c>
      <c r="G1833" s="370">
        <f t="shared" si="84"/>
        <v>1.234577587585081E-5</v>
      </c>
      <c r="H1833" s="370">
        <f t="shared" si="85"/>
        <v>3.805352606442461E-5</v>
      </c>
      <c r="I1833" s="331">
        <v>13849</v>
      </c>
      <c r="J1833" s="331">
        <v>1230112</v>
      </c>
      <c r="K1833" s="331">
        <f t="shared" si="86"/>
        <v>-1216263</v>
      </c>
      <c r="L1833" s="199">
        <v>4.3</v>
      </c>
      <c r="M1833" s="199">
        <v>1.81</v>
      </c>
    </row>
    <row r="1834" spans="1:13" ht="15" customHeight="1" x14ac:dyDescent="0.25">
      <c r="A1834" s="49">
        <v>2012</v>
      </c>
      <c r="B1834" s="330" t="s">
        <v>52</v>
      </c>
      <c r="C1834" s="331">
        <v>85601143267</v>
      </c>
      <c r="D1834" s="331">
        <v>27172080395</v>
      </c>
      <c r="E1834" s="331">
        <v>1180698911</v>
      </c>
      <c r="F1834" s="331">
        <v>869050</v>
      </c>
      <c r="G1834" s="370">
        <f t="shared" si="84"/>
        <v>1.015231767745591E-5</v>
      </c>
      <c r="H1834" s="370">
        <f t="shared" si="85"/>
        <v>3.1983196993628653E-5</v>
      </c>
      <c r="I1834" s="331">
        <v>9321</v>
      </c>
      <c r="J1834" s="331">
        <v>855310</v>
      </c>
      <c r="K1834" s="331">
        <f t="shared" si="86"/>
        <v>-845989</v>
      </c>
      <c r="L1834" s="199">
        <v>4.3499999999999996</v>
      </c>
      <c r="M1834" s="199">
        <v>1.81</v>
      </c>
    </row>
    <row r="1835" spans="1:13" ht="15" customHeight="1" x14ac:dyDescent="0.25">
      <c r="A1835" s="49">
        <v>2013</v>
      </c>
      <c r="B1835" s="330" t="s">
        <v>52</v>
      </c>
      <c r="C1835" s="331">
        <v>88455654390</v>
      </c>
      <c r="D1835" s="331">
        <v>29338363307</v>
      </c>
      <c r="E1835" s="331">
        <v>1164792849</v>
      </c>
      <c r="F1835" s="331">
        <v>783236</v>
      </c>
      <c r="G1835" s="370">
        <f t="shared" si="84"/>
        <v>8.8545611402830301E-6</v>
      </c>
      <c r="H1835" s="370">
        <f t="shared" si="85"/>
        <v>2.6696649428058703E-5</v>
      </c>
      <c r="I1835" s="331">
        <v>4732</v>
      </c>
      <c r="J1835" s="331">
        <v>399434</v>
      </c>
      <c r="K1835" s="331">
        <f t="shared" si="86"/>
        <v>-394702</v>
      </c>
      <c r="L1835" s="199">
        <v>3.97</v>
      </c>
      <c r="M1835" s="199">
        <v>1.81</v>
      </c>
    </row>
    <row r="1836" spans="1:13" ht="15" customHeight="1" x14ac:dyDescent="0.25">
      <c r="A1836" s="49">
        <v>2014</v>
      </c>
      <c r="B1836" s="330" t="s">
        <v>52</v>
      </c>
      <c r="C1836" s="331">
        <v>92087940975</v>
      </c>
      <c r="D1836" s="331">
        <v>30221000951</v>
      </c>
      <c r="E1836" s="331">
        <v>1087301179</v>
      </c>
      <c r="F1836" s="331">
        <v>646020</v>
      </c>
      <c r="G1836" s="370">
        <f t="shared" si="84"/>
        <v>7.0152507826771943E-6</v>
      </c>
      <c r="H1836" s="370">
        <f t="shared" si="85"/>
        <v>2.1376525583896104E-5</v>
      </c>
      <c r="I1836" s="331">
        <v>214956</v>
      </c>
      <c r="J1836" s="331">
        <v>0</v>
      </c>
      <c r="K1836" s="331">
        <f t="shared" si="86"/>
        <v>214956</v>
      </c>
      <c r="L1836" s="333">
        <v>3.597833112023451</v>
      </c>
      <c r="M1836" s="199">
        <v>1.81</v>
      </c>
    </row>
    <row r="1837" spans="1:13" ht="15" customHeight="1" x14ac:dyDescent="0.25">
      <c r="A1837" s="49">
        <v>2015</v>
      </c>
      <c r="B1837" s="330" t="s">
        <v>52</v>
      </c>
      <c r="C1837" s="334">
        <v>96775061000</v>
      </c>
      <c r="D1837" s="334">
        <v>31176122000</v>
      </c>
      <c r="E1837" s="334">
        <v>1037290000</v>
      </c>
      <c r="F1837" s="331">
        <v>527504</v>
      </c>
      <c r="G1837" s="370">
        <f t="shared" si="84"/>
        <v>5.4508258072810723E-6</v>
      </c>
      <c r="H1837" s="370">
        <f t="shared" si="85"/>
        <v>1.6920128808836455E-5</v>
      </c>
      <c r="I1837" s="331">
        <v>746895</v>
      </c>
      <c r="J1837" s="199">
        <v>0</v>
      </c>
      <c r="K1837" s="331">
        <f t="shared" si="86"/>
        <v>746895</v>
      </c>
      <c r="L1837" s="199">
        <v>3.3</v>
      </c>
      <c r="M1837" s="199">
        <v>1.81</v>
      </c>
    </row>
    <row r="1838" spans="1:13" ht="15" customHeight="1" x14ac:dyDescent="0.25">
      <c r="A1838" s="49">
        <v>1980</v>
      </c>
      <c r="B1838" s="330" t="s">
        <v>53</v>
      </c>
      <c r="C1838" s="331">
        <v>7293171999</v>
      </c>
      <c r="D1838" s="331">
        <v>3048356968</v>
      </c>
      <c r="E1838" s="331">
        <v>78536260</v>
      </c>
      <c r="F1838" s="331">
        <v>158148</v>
      </c>
      <c r="G1838" s="370">
        <f t="shared" si="84"/>
        <v>2.1684391924622701E-5</v>
      </c>
      <c r="H1838" s="370">
        <f t="shared" si="85"/>
        <v>5.1879750849441856E-5</v>
      </c>
      <c r="I1838" s="331">
        <v>3267</v>
      </c>
      <c r="J1838" s="331">
        <v>47214</v>
      </c>
      <c r="K1838" s="331">
        <f t="shared" si="86"/>
        <v>-43947</v>
      </c>
      <c r="L1838" s="199">
        <v>2.58</v>
      </c>
      <c r="M1838" s="199">
        <v>1.8</v>
      </c>
    </row>
    <row r="1839" spans="1:13" ht="15" customHeight="1" x14ac:dyDescent="0.25">
      <c r="A1839" s="49">
        <v>1981</v>
      </c>
      <c r="B1839" s="330" t="s">
        <v>53</v>
      </c>
      <c r="C1839" s="331">
        <v>7590082547</v>
      </c>
      <c r="D1839" s="331">
        <v>3683465793</v>
      </c>
      <c r="E1839" s="331">
        <v>140619402</v>
      </c>
      <c r="F1839" s="331">
        <v>149327</v>
      </c>
      <c r="G1839" s="370">
        <f t="shared" si="84"/>
        <v>1.9673962578842029E-5</v>
      </c>
      <c r="H1839" s="370">
        <f t="shared" si="85"/>
        <v>4.0539809079747304E-5</v>
      </c>
      <c r="I1839" s="331">
        <v>29065</v>
      </c>
      <c r="J1839" s="331">
        <v>99814</v>
      </c>
      <c r="K1839" s="331">
        <f t="shared" si="86"/>
        <v>-70749</v>
      </c>
      <c r="L1839" s="199">
        <v>3.82</v>
      </c>
      <c r="M1839" s="199">
        <v>1.94</v>
      </c>
    </row>
    <row r="1840" spans="1:13" ht="15" customHeight="1" x14ac:dyDescent="0.25">
      <c r="A1840" s="49">
        <v>1982</v>
      </c>
      <c r="B1840" s="330" t="s">
        <v>53</v>
      </c>
      <c r="C1840" s="331">
        <v>7685028779</v>
      </c>
      <c r="D1840" s="331">
        <v>3546999309</v>
      </c>
      <c r="E1840" s="331">
        <v>161752149</v>
      </c>
      <c r="F1840" s="331">
        <v>233902</v>
      </c>
      <c r="G1840" s="370">
        <f t="shared" si="84"/>
        <v>3.0436060387848809E-5</v>
      </c>
      <c r="H1840" s="370">
        <f t="shared" si="85"/>
        <v>6.5943627168606249E-5</v>
      </c>
      <c r="I1840" s="331">
        <v>0</v>
      </c>
      <c r="J1840" s="331">
        <v>144197</v>
      </c>
      <c r="K1840" s="331">
        <f t="shared" si="86"/>
        <v>-144197</v>
      </c>
      <c r="L1840" s="199">
        <v>4.5599999999999996</v>
      </c>
      <c r="M1840" s="199">
        <v>2.5299999999999998</v>
      </c>
    </row>
    <row r="1841" spans="1:13" ht="15" customHeight="1" x14ac:dyDescent="0.25">
      <c r="A1841" s="49">
        <v>1983</v>
      </c>
      <c r="B1841" s="330" t="s">
        <v>53</v>
      </c>
      <c r="C1841" s="331">
        <v>7269656961</v>
      </c>
      <c r="D1841" s="331">
        <v>3306709613</v>
      </c>
      <c r="E1841" s="331">
        <v>143407071</v>
      </c>
      <c r="F1841" s="331">
        <v>259433</v>
      </c>
      <c r="G1841" s="370">
        <f t="shared" si="84"/>
        <v>3.5687103448181539E-5</v>
      </c>
      <c r="H1841" s="370">
        <f t="shared" si="85"/>
        <v>7.8456541505811378E-5</v>
      </c>
      <c r="I1841" s="331">
        <v>45</v>
      </c>
      <c r="J1841" s="331">
        <v>288082</v>
      </c>
      <c r="K1841" s="331">
        <f t="shared" si="86"/>
        <v>-288037</v>
      </c>
      <c r="L1841" s="199">
        <v>4.34</v>
      </c>
      <c r="M1841" s="199">
        <v>3.17</v>
      </c>
    </row>
    <row r="1842" spans="1:13" ht="15" customHeight="1" x14ac:dyDescent="0.25">
      <c r="A1842" s="49">
        <v>1984</v>
      </c>
      <c r="B1842" s="330" t="s">
        <v>53</v>
      </c>
      <c r="C1842" s="331">
        <v>7733323034</v>
      </c>
      <c r="D1842" s="331">
        <v>3389992673</v>
      </c>
      <c r="E1842" s="331">
        <v>151960962</v>
      </c>
      <c r="F1842" s="331">
        <v>145501</v>
      </c>
      <c r="G1842" s="370">
        <f t="shared" si="84"/>
        <v>1.8814809540516602E-5</v>
      </c>
      <c r="H1842" s="370">
        <f t="shared" si="85"/>
        <v>4.2920741734594307E-5</v>
      </c>
      <c r="I1842" s="331">
        <v>33015</v>
      </c>
      <c r="J1842" s="331">
        <v>308190</v>
      </c>
      <c r="K1842" s="331">
        <f t="shared" si="86"/>
        <v>-275175</v>
      </c>
      <c r="L1842" s="199">
        <v>4.4800000000000004</v>
      </c>
      <c r="M1842" s="199">
        <v>3.17</v>
      </c>
    </row>
    <row r="1843" spans="1:13" ht="15" customHeight="1" x14ac:dyDescent="0.25">
      <c r="A1843" s="49">
        <v>1985</v>
      </c>
      <c r="B1843" s="330" t="s">
        <v>53</v>
      </c>
      <c r="C1843" s="331">
        <v>7873021727</v>
      </c>
      <c r="D1843" s="331">
        <v>3375219132</v>
      </c>
      <c r="E1843" s="331">
        <v>152438313</v>
      </c>
      <c r="F1843" s="331">
        <v>145390</v>
      </c>
      <c r="G1843" s="370">
        <f t="shared" si="84"/>
        <v>1.8466861268957858E-5</v>
      </c>
      <c r="H1843" s="370">
        <f t="shared" si="85"/>
        <v>4.3075721698060108E-5</v>
      </c>
      <c r="I1843" s="331">
        <v>0</v>
      </c>
      <c r="J1843" s="331">
        <v>255970</v>
      </c>
      <c r="K1843" s="331">
        <f t="shared" si="86"/>
        <v>-255970</v>
      </c>
      <c r="L1843" s="199">
        <v>4.5199999999999996</v>
      </c>
      <c r="M1843" s="199">
        <v>3.17</v>
      </c>
    </row>
    <row r="1844" spans="1:13" ht="15" customHeight="1" x14ac:dyDescent="0.25">
      <c r="A1844" s="49">
        <v>1986</v>
      </c>
      <c r="B1844" s="330" t="s">
        <v>53</v>
      </c>
      <c r="C1844" s="331">
        <v>7992157044</v>
      </c>
      <c r="D1844" s="331">
        <v>3377832101</v>
      </c>
      <c r="E1844" s="331">
        <v>152684697</v>
      </c>
      <c r="F1844" s="331">
        <v>143350</v>
      </c>
      <c r="G1844" s="370">
        <f t="shared" si="84"/>
        <v>1.7936334235025825E-5</v>
      </c>
      <c r="H1844" s="370">
        <f t="shared" si="85"/>
        <v>4.2438462218877467E-5</v>
      </c>
      <c r="I1844" s="331">
        <v>0</v>
      </c>
      <c r="J1844" s="331">
        <v>225243</v>
      </c>
      <c r="K1844" s="331">
        <f t="shared" si="86"/>
        <v>-225243</v>
      </c>
      <c r="L1844" s="199">
        <v>4.5199999999999996</v>
      </c>
      <c r="M1844" s="199">
        <v>3.17</v>
      </c>
    </row>
    <row r="1845" spans="1:13" ht="15" customHeight="1" x14ac:dyDescent="0.25">
      <c r="A1845" s="49">
        <v>1987</v>
      </c>
      <c r="B1845" s="330" t="s">
        <v>53</v>
      </c>
      <c r="C1845" s="331">
        <v>8169972332</v>
      </c>
      <c r="D1845" s="331">
        <v>3407743736</v>
      </c>
      <c r="E1845" s="331">
        <v>146152484</v>
      </c>
      <c r="F1845" s="331">
        <v>119959</v>
      </c>
      <c r="G1845" s="370">
        <f t="shared" si="84"/>
        <v>1.4682913861304861E-5</v>
      </c>
      <c r="H1845" s="370">
        <f t="shared" si="85"/>
        <v>3.5201884089091612E-5</v>
      </c>
      <c r="I1845" s="331">
        <v>65251</v>
      </c>
      <c r="J1845" s="331">
        <v>0</v>
      </c>
      <c r="K1845" s="331">
        <f t="shared" si="86"/>
        <v>65251</v>
      </c>
      <c r="L1845" s="199">
        <v>4.29</v>
      </c>
      <c r="M1845" s="199">
        <v>3.17</v>
      </c>
    </row>
    <row r="1846" spans="1:13" ht="15" customHeight="1" x14ac:dyDescent="0.25">
      <c r="A1846" s="49">
        <v>1988</v>
      </c>
      <c r="B1846" s="330" t="s">
        <v>53</v>
      </c>
      <c r="C1846" s="331">
        <v>8592698837</v>
      </c>
      <c r="D1846" s="331">
        <v>3473205294</v>
      </c>
      <c r="E1846" s="331">
        <v>142071039</v>
      </c>
      <c r="F1846" s="331">
        <v>97591</v>
      </c>
      <c r="G1846" s="370">
        <f t="shared" si="84"/>
        <v>1.1357432845170249E-5</v>
      </c>
      <c r="H1846" s="370">
        <f t="shared" si="85"/>
        <v>2.8098252691422966E-5</v>
      </c>
      <c r="I1846" s="331">
        <v>133355</v>
      </c>
      <c r="J1846" s="331">
        <v>0</v>
      </c>
      <c r="K1846" s="331">
        <f t="shared" si="86"/>
        <v>133355</v>
      </c>
      <c r="L1846" s="199">
        <v>4.09</v>
      </c>
      <c r="M1846" s="199">
        <v>3.17</v>
      </c>
    </row>
    <row r="1847" spans="1:13" ht="15" customHeight="1" x14ac:dyDescent="0.25">
      <c r="A1847" s="49">
        <v>1989</v>
      </c>
      <c r="B1847" s="330" t="s">
        <v>53</v>
      </c>
      <c r="C1847" s="331">
        <v>8923745387</v>
      </c>
      <c r="D1847" s="331">
        <v>3542896348</v>
      </c>
      <c r="E1847" s="331">
        <v>77505098</v>
      </c>
      <c r="F1847" s="331">
        <v>91429</v>
      </c>
      <c r="G1847" s="370">
        <f t="shared" si="84"/>
        <v>1.0245585909834744E-5</v>
      </c>
      <c r="H1847" s="370">
        <f t="shared" si="85"/>
        <v>2.5806287009105579E-5</v>
      </c>
      <c r="I1847" s="331">
        <v>145845</v>
      </c>
      <c r="J1847" s="331">
        <v>0</v>
      </c>
      <c r="K1847" s="331">
        <f t="shared" si="86"/>
        <v>145845</v>
      </c>
      <c r="L1847" s="199">
        <v>2.19</v>
      </c>
      <c r="M1847" s="199">
        <v>3.17</v>
      </c>
    </row>
    <row r="1848" spans="1:13" ht="15" customHeight="1" x14ac:dyDescent="0.25">
      <c r="A1848" s="49">
        <v>1990</v>
      </c>
      <c r="B1848" s="330" t="s">
        <v>53</v>
      </c>
      <c r="C1848" s="331">
        <v>9527759981</v>
      </c>
      <c r="D1848" s="331">
        <v>3679766854</v>
      </c>
      <c r="E1848" s="331">
        <v>79140025</v>
      </c>
      <c r="F1848" s="331">
        <v>92456</v>
      </c>
      <c r="G1848" s="370">
        <f t="shared" si="84"/>
        <v>9.7038548603631126E-6</v>
      </c>
      <c r="H1848" s="370">
        <f t="shared" si="85"/>
        <v>2.5125504867108085E-5</v>
      </c>
      <c r="I1848" s="331">
        <v>152752</v>
      </c>
      <c r="J1848" s="331">
        <v>0</v>
      </c>
      <c r="K1848" s="331">
        <f t="shared" si="86"/>
        <v>152752</v>
      </c>
      <c r="L1848" s="199">
        <v>2.15</v>
      </c>
      <c r="M1848" s="199">
        <v>3.17</v>
      </c>
    </row>
    <row r="1849" spans="1:13" ht="15" customHeight="1" x14ac:dyDescent="0.25">
      <c r="A1849" s="49">
        <v>1991</v>
      </c>
      <c r="B1849" s="330" t="s">
        <v>53</v>
      </c>
      <c r="C1849" s="331">
        <v>9673488129</v>
      </c>
      <c r="D1849" s="331">
        <v>3704538958</v>
      </c>
      <c r="E1849" s="331">
        <v>108535072</v>
      </c>
      <c r="F1849" s="331">
        <v>146060</v>
      </c>
      <c r="G1849" s="370">
        <f t="shared" si="84"/>
        <v>1.5099000283272069E-5</v>
      </c>
      <c r="H1849" s="370">
        <f t="shared" si="85"/>
        <v>3.942730840624082E-5</v>
      </c>
      <c r="I1849" s="331">
        <v>157124</v>
      </c>
      <c r="J1849" s="331">
        <v>0</v>
      </c>
      <c r="K1849" s="331">
        <f t="shared" si="86"/>
        <v>157124</v>
      </c>
      <c r="L1849" s="199">
        <v>2.93</v>
      </c>
      <c r="M1849" s="199">
        <v>3.17</v>
      </c>
    </row>
    <row r="1850" spans="1:13" ht="15" customHeight="1" x14ac:dyDescent="0.25">
      <c r="A1850" s="49">
        <v>1992</v>
      </c>
      <c r="B1850" s="330" t="s">
        <v>53</v>
      </c>
      <c r="C1850" s="331">
        <v>10155834655</v>
      </c>
      <c r="D1850" s="331">
        <v>3789971861</v>
      </c>
      <c r="E1850" s="331">
        <v>114232347</v>
      </c>
      <c r="F1850" s="331">
        <v>138712</v>
      </c>
      <c r="G1850" s="370">
        <f t="shared" si="84"/>
        <v>1.3658355488458866E-5</v>
      </c>
      <c r="H1850" s="370">
        <f t="shared" si="85"/>
        <v>3.6599744031714331E-5</v>
      </c>
      <c r="I1850" s="331">
        <v>140517</v>
      </c>
      <c r="J1850" s="331">
        <v>0</v>
      </c>
      <c r="K1850" s="331">
        <f t="shared" si="86"/>
        <v>140517</v>
      </c>
      <c r="L1850" s="199">
        <v>3.01</v>
      </c>
      <c r="M1850" s="199">
        <v>3.17</v>
      </c>
    </row>
    <row r="1851" spans="1:13" ht="15" customHeight="1" x14ac:dyDescent="0.25">
      <c r="A1851" s="49">
        <v>1993</v>
      </c>
      <c r="B1851" s="330" t="s">
        <v>53</v>
      </c>
      <c r="C1851" s="331">
        <v>10345315623</v>
      </c>
      <c r="D1851" s="331">
        <v>3911613657</v>
      </c>
      <c r="E1851" s="331">
        <v>119798069</v>
      </c>
      <c r="F1851" s="331">
        <v>116518</v>
      </c>
      <c r="G1851" s="370">
        <f t="shared" si="84"/>
        <v>1.1262875319236647E-5</v>
      </c>
      <c r="H1851" s="370">
        <f t="shared" si="85"/>
        <v>2.9787706613480616E-5</v>
      </c>
      <c r="I1851" s="331">
        <v>154512</v>
      </c>
      <c r="J1851" s="331">
        <v>0</v>
      </c>
      <c r="K1851" s="331">
        <f t="shared" si="86"/>
        <v>154512</v>
      </c>
      <c r="L1851" s="199">
        <v>3.06</v>
      </c>
      <c r="M1851" s="199">
        <v>3.17</v>
      </c>
    </row>
    <row r="1852" spans="1:13" ht="15" customHeight="1" x14ac:dyDescent="0.25">
      <c r="A1852" s="49">
        <v>1994</v>
      </c>
      <c r="B1852" s="330" t="s">
        <v>53</v>
      </c>
      <c r="C1852" s="331">
        <v>10997623083</v>
      </c>
      <c r="D1852" s="331">
        <v>4053304322</v>
      </c>
      <c r="E1852" s="331">
        <v>123598881</v>
      </c>
      <c r="F1852" s="331">
        <v>124947</v>
      </c>
      <c r="G1852" s="370">
        <f t="shared" si="84"/>
        <v>1.1361273163938638E-5</v>
      </c>
      <c r="H1852" s="370">
        <f t="shared" si="85"/>
        <v>3.082596076535109E-5</v>
      </c>
      <c r="I1852" s="331">
        <v>161671</v>
      </c>
      <c r="J1852" s="331">
        <v>0</v>
      </c>
      <c r="K1852" s="331">
        <f t="shared" si="86"/>
        <v>161671</v>
      </c>
      <c r="L1852" s="199">
        <v>3.05</v>
      </c>
      <c r="M1852" s="199">
        <v>3.17</v>
      </c>
    </row>
    <row r="1853" spans="1:13" ht="15" customHeight="1" x14ac:dyDescent="0.25">
      <c r="A1853" s="49">
        <v>1995</v>
      </c>
      <c r="B1853" s="330" t="s">
        <v>53</v>
      </c>
      <c r="C1853" s="331">
        <v>11424390039</v>
      </c>
      <c r="D1853" s="331">
        <v>4138418394</v>
      </c>
      <c r="E1853" s="331">
        <v>123818541</v>
      </c>
      <c r="F1853" s="331">
        <v>133056</v>
      </c>
      <c r="G1853" s="370">
        <f t="shared" si="84"/>
        <v>1.1646661182415885E-5</v>
      </c>
      <c r="H1853" s="370">
        <f t="shared" si="85"/>
        <v>3.2151413253166588E-5</v>
      </c>
      <c r="I1853" s="331">
        <v>164036</v>
      </c>
      <c r="J1853" s="331">
        <v>0</v>
      </c>
      <c r="K1853" s="331">
        <f t="shared" si="86"/>
        <v>164036</v>
      </c>
      <c r="L1853" s="199">
        <v>2.99</v>
      </c>
      <c r="M1853" s="199">
        <v>3.17</v>
      </c>
    </row>
    <row r="1854" spans="1:13" ht="15" customHeight="1" x14ac:dyDescent="0.25">
      <c r="A1854" s="49">
        <v>1996</v>
      </c>
      <c r="B1854" s="330" t="s">
        <v>53</v>
      </c>
      <c r="C1854" s="331">
        <v>11812323187</v>
      </c>
      <c r="D1854" s="331">
        <v>4213467994</v>
      </c>
      <c r="E1854" s="331">
        <v>125157220</v>
      </c>
      <c r="F1854" s="331">
        <v>140898</v>
      </c>
      <c r="G1854" s="370">
        <f t="shared" si="84"/>
        <v>1.1928051558482981E-5</v>
      </c>
      <c r="H1854" s="370">
        <f t="shared" si="85"/>
        <v>3.3439912252956345E-5</v>
      </c>
      <c r="I1854" s="331">
        <v>157345</v>
      </c>
      <c r="J1854" s="331">
        <v>0</v>
      </c>
      <c r="K1854" s="331">
        <f t="shared" si="86"/>
        <v>157345</v>
      </c>
      <c r="L1854" s="199">
        <v>2.97</v>
      </c>
      <c r="M1854" s="199">
        <v>3.17</v>
      </c>
    </row>
    <row r="1855" spans="1:13" ht="15" customHeight="1" x14ac:dyDescent="0.25">
      <c r="A1855" s="49">
        <v>1997</v>
      </c>
      <c r="B1855" s="330" t="s">
        <v>53</v>
      </c>
      <c r="C1855" s="331">
        <v>12235246099</v>
      </c>
      <c r="D1855" s="331">
        <v>4317933872</v>
      </c>
      <c r="E1855" s="331">
        <v>125927938</v>
      </c>
      <c r="F1855" s="331">
        <v>128467</v>
      </c>
      <c r="G1855" s="370">
        <f t="shared" si="84"/>
        <v>1.0499747938090084E-5</v>
      </c>
      <c r="H1855" s="370">
        <f t="shared" si="85"/>
        <v>2.9751960962870439E-5</v>
      </c>
      <c r="I1855" s="331">
        <v>165917</v>
      </c>
      <c r="J1855" s="331">
        <v>0</v>
      </c>
      <c r="K1855" s="331">
        <f t="shared" si="86"/>
        <v>165917</v>
      </c>
      <c r="L1855" s="199">
        <v>2.92</v>
      </c>
      <c r="M1855" s="199">
        <v>3.17</v>
      </c>
    </row>
    <row r="1856" spans="1:13" x14ac:dyDescent="0.25">
      <c r="A1856" s="49">
        <v>1998</v>
      </c>
      <c r="B1856" s="330" t="s">
        <v>53</v>
      </c>
      <c r="C1856" s="331">
        <v>12682664283</v>
      </c>
      <c r="D1856" s="331">
        <v>4424847149</v>
      </c>
      <c r="E1856" s="331">
        <v>127929942</v>
      </c>
      <c r="F1856" s="331">
        <v>114555</v>
      </c>
      <c r="G1856" s="370">
        <f t="shared" si="84"/>
        <v>9.0324081315903736E-6</v>
      </c>
      <c r="H1856" s="370">
        <f t="shared" si="85"/>
        <v>2.5889029867594189E-5</v>
      </c>
      <c r="I1856" s="331">
        <v>181322</v>
      </c>
      <c r="J1856" s="331">
        <v>0</v>
      </c>
      <c r="K1856" s="331">
        <f t="shared" si="86"/>
        <v>181322</v>
      </c>
      <c r="L1856" s="199">
        <v>2.89</v>
      </c>
      <c r="M1856" s="199">
        <v>3.17</v>
      </c>
    </row>
    <row r="1857" spans="1:13" x14ac:dyDescent="0.25">
      <c r="A1857" s="49">
        <v>1999</v>
      </c>
      <c r="B1857" s="330" t="s">
        <v>53</v>
      </c>
      <c r="C1857" s="331">
        <v>12990403076</v>
      </c>
      <c r="D1857" s="331">
        <v>4453628627</v>
      </c>
      <c r="E1857" s="331">
        <v>127591540</v>
      </c>
      <c r="F1857" s="331">
        <v>124063</v>
      </c>
      <c r="G1857" s="370">
        <f t="shared" si="84"/>
        <v>9.5503580046110028E-6</v>
      </c>
      <c r="H1857" s="370">
        <f t="shared" si="85"/>
        <v>2.7856610954912474E-5</v>
      </c>
      <c r="I1857" s="331">
        <v>188427</v>
      </c>
      <c r="J1857" s="331">
        <v>0</v>
      </c>
      <c r="K1857" s="331">
        <f t="shared" si="86"/>
        <v>188427</v>
      </c>
      <c r="L1857" s="199">
        <v>2.87</v>
      </c>
      <c r="M1857" s="199">
        <v>3.17</v>
      </c>
    </row>
    <row r="1858" spans="1:13" x14ac:dyDescent="0.25">
      <c r="A1858" s="49">
        <v>2000</v>
      </c>
      <c r="B1858" s="330" t="s">
        <v>53</v>
      </c>
      <c r="C1858" s="331">
        <v>13484198268</v>
      </c>
      <c r="D1858" s="331">
        <v>4530218170</v>
      </c>
      <c r="E1858" s="331">
        <v>130654898</v>
      </c>
      <c r="F1858" s="331">
        <v>107551</v>
      </c>
      <c r="G1858" s="370">
        <f t="shared" ref="G1858:G1909" si="87">F1858/C1858</f>
        <v>7.9760767279159972E-6</v>
      </c>
      <c r="H1858" s="370">
        <f t="shared" ref="H1858:H1909" si="88">F1858/D1858</f>
        <v>2.3740799220713911E-5</v>
      </c>
      <c r="I1858" s="331">
        <v>222839</v>
      </c>
      <c r="J1858" s="331">
        <v>0</v>
      </c>
      <c r="K1858" s="331">
        <f t="shared" ref="K1858:K1909" si="89">I1858-J1858</f>
        <v>222839</v>
      </c>
      <c r="L1858" s="199">
        <v>2.88</v>
      </c>
      <c r="M1858" s="199">
        <v>3.17</v>
      </c>
    </row>
    <row r="1859" spans="1:13" x14ac:dyDescent="0.25">
      <c r="A1859" s="49">
        <v>2001</v>
      </c>
      <c r="B1859" s="330" t="s">
        <v>53</v>
      </c>
      <c r="C1859" s="331">
        <v>13995683082</v>
      </c>
      <c r="D1859" s="331">
        <v>4563251167</v>
      </c>
      <c r="E1859" s="331">
        <v>131444451</v>
      </c>
      <c r="F1859" s="331">
        <v>126886</v>
      </c>
      <c r="G1859" s="370">
        <f t="shared" si="87"/>
        <v>9.0660812520961879E-6</v>
      </c>
      <c r="H1859" s="370">
        <f t="shared" si="88"/>
        <v>2.7806052166840984E-5</v>
      </c>
      <c r="I1859" s="331">
        <v>239569</v>
      </c>
      <c r="J1859" s="331">
        <v>0</v>
      </c>
      <c r="K1859" s="331">
        <f t="shared" si="89"/>
        <v>239569</v>
      </c>
      <c r="L1859" s="199">
        <v>2.88</v>
      </c>
      <c r="M1859" s="199">
        <v>3.11</v>
      </c>
    </row>
    <row r="1860" spans="1:13" x14ac:dyDescent="0.25">
      <c r="A1860" s="49">
        <v>2002</v>
      </c>
      <c r="B1860" s="330" t="s">
        <v>53</v>
      </c>
      <c r="C1860" s="331">
        <v>14086675876</v>
      </c>
      <c r="D1860" s="331">
        <v>4491197775</v>
      </c>
      <c r="E1860" s="331">
        <v>124492433</v>
      </c>
      <c r="F1860" s="331">
        <v>159859</v>
      </c>
      <c r="G1860" s="370">
        <f t="shared" si="87"/>
        <v>1.1348241516109404E-5</v>
      </c>
      <c r="H1860" s="370">
        <f t="shared" si="88"/>
        <v>3.5593845563837369E-5</v>
      </c>
      <c r="I1860" s="331">
        <v>257055</v>
      </c>
      <c r="J1860" s="331">
        <v>0</v>
      </c>
      <c r="K1860" s="331">
        <f t="shared" si="89"/>
        <v>257055</v>
      </c>
      <c r="L1860" s="199">
        <v>2.77</v>
      </c>
      <c r="M1860" s="199">
        <v>3.11</v>
      </c>
    </row>
    <row r="1861" spans="1:13" x14ac:dyDescent="0.25">
      <c r="A1861" s="49">
        <v>2003</v>
      </c>
      <c r="B1861" s="330" t="s">
        <v>53</v>
      </c>
      <c r="C1861" s="331">
        <v>14219921200</v>
      </c>
      <c r="D1861" s="331">
        <v>4435972788</v>
      </c>
      <c r="E1861" s="331">
        <v>122731274</v>
      </c>
      <c r="F1861" s="331">
        <v>177090</v>
      </c>
      <c r="G1861" s="370">
        <f t="shared" si="87"/>
        <v>1.245365550970845E-5</v>
      </c>
      <c r="H1861" s="370">
        <f t="shared" si="88"/>
        <v>3.9921344981884503E-5</v>
      </c>
      <c r="I1861" s="331">
        <v>207605</v>
      </c>
      <c r="J1861" s="331">
        <v>0</v>
      </c>
      <c r="K1861" s="331">
        <f t="shared" si="89"/>
        <v>207605</v>
      </c>
      <c r="L1861" s="199">
        <v>2.77</v>
      </c>
      <c r="M1861" s="199">
        <v>3.11</v>
      </c>
    </row>
    <row r="1862" spans="1:13" x14ac:dyDescent="0.25">
      <c r="A1862" s="49">
        <v>2004</v>
      </c>
      <c r="B1862" s="330" t="s">
        <v>53</v>
      </c>
      <c r="C1862" s="331">
        <v>15070113272</v>
      </c>
      <c r="D1862" s="331">
        <v>4592707205</v>
      </c>
      <c r="E1862" s="331">
        <v>131312388</v>
      </c>
      <c r="F1862" s="331">
        <v>141362</v>
      </c>
      <c r="G1862" s="370">
        <f t="shared" si="87"/>
        <v>9.380287821900321E-6</v>
      </c>
      <c r="H1862" s="370">
        <f t="shared" si="88"/>
        <v>3.0779667348726618E-5</v>
      </c>
      <c r="I1862" s="331">
        <v>203701</v>
      </c>
      <c r="J1862" s="331">
        <v>0</v>
      </c>
      <c r="K1862" s="331">
        <f t="shared" si="89"/>
        <v>203701</v>
      </c>
      <c r="L1862" s="199">
        <v>2.86</v>
      </c>
      <c r="M1862" s="199">
        <v>3.11</v>
      </c>
    </row>
    <row r="1863" spans="1:13" x14ac:dyDescent="0.25">
      <c r="A1863" s="49">
        <v>2005</v>
      </c>
      <c r="B1863" s="330" t="s">
        <v>53</v>
      </c>
      <c r="C1863" s="331">
        <v>15780213454</v>
      </c>
      <c r="D1863" s="331">
        <v>4684710554</v>
      </c>
      <c r="E1863" s="331">
        <v>134241922</v>
      </c>
      <c r="F1863" s="331">
        <v>135386</v>
      </c>
      <c r="G1863" s="370">
        <f t="shared" si="87"/>
        <v>8.579478369836758E-6</v>
      </c>
      <c r="H1863" s="370">
        <f t="shared" si="88"/>
        <v>2.8899544259869336E-5</v>
      </c>
      <c r="I1863" s="331">
        <v>217456</v>
      </c>
      <c r="J1863" s="331">
        <v>0</v>
      </c>
      <c r="K1863" s="331">
        <f t="shared" si="89"/>
        <v>217456</v>
      </c>
      <c r="L1863" s="199">
        <v>2.87</v>
      </c>
      <c r="M1863" s="199">
        <v>3.11</v>
      </c>
    </row>
    <row r="1864" spans="1:13" x14ac:dyDescent="0.25">
      <c r="A1864" s="49">
        <v>2006</v>
      </c>
      <c r="B1864" s="330" t="s">
        <v>53</v>
      </c>
      <c r="C1864" s="331">
        <v>16804901340</v>
      </c>
      <c r="D1864" s="331">
        <v>4843998735</v>
      </c>
      <c r="E1864" s="331">
        <v>137768296</v>
      </c>
      <c r="F1864" s="331">
        <v>127125</v>
      </c>
      <c r="G1864" s="370">
        <f t="shared" si="87"/>
        <v>7.5647572947905209E-6</v>
      </c>
      <c r="H1864" s="370">
        <f t="shared" si="88"/>
        <v>2.6243813624777919E-5</v>
      </c>
      <c r="I1864" s="331">
        <v>242451</v>
      </c>
      <c r="J1864" s="331">
        <v>0</v>
      </c>
      <c r="K1864" s="331">
        <f t="shared" si="89"/>
        <v>242451</v>
      </c>
      <c r="L1864" s="199">
        <v>2.84</v>
      </c>
      <c r="M1864" s="199">
        <v>3.11</v>
      </c>
    </row>
    <row r="1865" spans="1:13" x14ac:dyDescent="0.25">
      <c r="A1865" s="49">
        <v>2007</v>
      </c>
      <c r="B1865" s="330" t="s">
        <v>53</v>
      </c>
      <c r="C1865" s="331">
        <v>17492304636</v>
      </c>
      <c r="D1865" s="331">
        <v>4867348666</v>
      </c>
      <c r="E1865" s="331">
        <v>134282192</v>
      </c>
      <c r="F1865" s="331">
        <v>142772</v>
      </c>
      <c r="G1865" s="370">
        <f t="shared" si="87"/>
        <v>8.1619891129821968E-6</v>
      </c>
      <c r="H1865" s="370">
        <f t="shared" si="88"/>
        <v>2.9332601750375612E-5</v>
      </c>
      <c r="I1865" s="331">
        <v>244786</v>
      </c>
      <c r="J1865" s="331">
        <v>0</v>
      </c>
      <c r="K1865" s="331">
        <f t="shared" si="89"/>
        <v>244786</v>
      </c>
      <c r="L1865" s="199">
        <v>2.76</v>
      </c>
      <c r="M1865" s="199">
        <v>3.11</v>
      </c>
    </row>
    <row r="1866" spans="1:13" x14ac:dyDescent="0.25">
      <c r="A1866" s="49">
        <v>2008</v>
      </c>
      <c r="B1866" s="330" t="s">
        <v>53</v>
      </c>
      <c r="C1866" s="331">
        <v>18521505257</v>
      </c>
      <c r="D1866" s="331">
        <v>4940809394</v>
      </c>
      <c r="E1866" s="331">
        <v>136425874</v>
      </c>
      <c r="F1866" s="331">
        <v>159732</v>
      </c>
      <c r="G1866" s="370">
        <f t="shared" si="87"/>
        <v>8.6241370657296353E-6</v>
      </c>
      <c r="H1866" s="370">
        <f t="shared" si="88"/>
        <v>3.2329115993418953E-5</v>
      </c>
      <c r="I1866" s="331">
        <v>232319</v>
      </c>
      <c r="J1866" s="331">
        <v>0</v>
      </c>
      <c r="K1866" s="331">
        <f t="shared" si="89"/>
        <v>232319</v>
      </c>
      <c r="L1866" s="199">
        <v>2.8</v>
      </c>
      <c r="M1866" s="199">
        <v>3.11</v>
      </c>
    </row>
    <row r="1867" spans="1:13" x14ac:dyDescent="0.25">
      <c r="A1867" s="49">
        <v>2009</v>
      </c>
      <c r="B1867" s="330" t="s">
        <v>53</v>
      </c>
      <c r="C1867" s="331">
        <v>18155213096</v>
      </c>
      <c r="D1867" s="331">
        <v>6234968777</v>
      </c>
      <c r="E1867" s="331">
        <v>168659454</v>
      </c>
      <c r="F1867" s="331">
        <v>333836</v>
      </c>
      <c r="G1867" s="370">
        <f t="shared" si="87"/>
        <v>1.8387886621587026E-5</v>
      </c>
      <c r="H1867" s="370">
        <f t="shared" si="88"/>
        <v>5.3542529552269483E-5</v>
      </c>
      <c r="I1867" s="331">
        <v>123859</v>
      </c>
      <c r="J1867" s="331">
        <v>0</v>
      </c>
      <c r="K1867" s="331">
        <f t="shared" si="89"/>
        <v>123859</v>
      </c>
      <c r="L1867" s="199">
        <v>2.7</v>
      </c>
      <c r="M1867" s="199">
        <v>1.59</v>
      </c>
    </row>
    <row r="1868" spans="1:13" x14ac:dyDescent="0.25">
      <c r="A1868" s="49">
        <v>2010</v>
      </c>
      <c r="B1868" s="330" t="s">
        <v>53</v>
      </c>
      <c r="C1868" s="331">
        <v>18559845984</v>
      </c>
      <c r="D1868" s="331">
        <v>6431141143</v>
      </c>
      <c r="E1868" s="331">
        <v>189489095</v>
      </c>
      <c r="F1868" s="331">
        <v>237078</v>
      </c>
      <c r="G1868" s="370">
        <f t="shared" si="87"/>
        <v>1.2773705137660047E-5</v>
      </c>
      <c r="H1868" s="370">
        <f t="shared" si="88"/>
        <v>3.6864064203916351E-5</v>
      </c>
      <c r="I1868" s="331">
        <v>76837</v>
      </c>
      <c r="J1868" s="331">
        <v>0</v>
      </c>
      <c r="K1868" s="331">
        <f t="shared" si="89"/>
        <v>76837</v>
      </c>
      <c r="L1868" s="199">
        <v>2.9</v>
      </c>
      <c r="M1868" s="199">
        <v>1.59</v>
      </c>
    </row>
    <row r="1869" spans="1:13" x14ac:dyDescent="0.25">
      <c r="A1869" s="49">
        <v>2011</v>
      </c>
      <c r="B1869" s="330" t="s">
        <v>53</v>
      </c>
      <c r="C1869" s="331">
        <v>19738806719</v>
      </c>
      <c r="D1869" s="331">
        <v>6644445029</v>
      </c>
      <c r="E1869" s="331">
        <v>210587790</v>
      </c>
      <c r="F1869" s="331">
        <v>188053</v>
      </c>
      <c r="G1869" s="370">
        <f t="shared" si="87"/>
        <v>9.5270703379949335E-6</v>
      </c>
      <c r="H1869" s="370">
        <f t="shared" si="88"/>
        <v>2.8302288479960874E-5</v>
      </c>
      <c r="I1869" s="331">
        <v>105325</v>
      </c>
      <c r="J1869" s="331">
        <v>0</v>
      </c>
      <c r="K1869" s="331">
        <f t="shared" si="89"/>
        <v>105325</v>
      </c>
      <c r="L1869" s="199">
        <v>3.2</v>
      </c>
      <c r="M1869" s="199">
        <v>1.59</v>
      </c>
    </row>
    <row r="1870" spans="1:13" x14ac:dyDescent="0.25">
      <c r="A1870" s="49">
        <v>2012</v>
      </c>
      <c r="B1870" s="330" t="s">
        <v>53</v>
      </c>
      <c r="C1870" s="331">
        <v>20305382769</v>
      </c>
      <c r="D1870" s="331">
        <v>6743780977</v>
      </c>
      <c r="E1870" s="331">
        <v>214099569</v>
      </c>
      <c r="F1870" s="331">
        <v>220195</v>
      </c>
      <c r="G1870" s="370">
        <f t="shared" si="87"/>
        <v>1.0844168883935999E-5</v>
      </c>
      <c r="H1870" s="370">
        <f t="shared" si="88"/>
        <v>3.2651564567560246E-5</v>
      </c>
      <c r="I1870" s="331">
        <v>108144</v>
      </c>
      <c r="J1870" s="331">
        <v>0</v>
      </c>
      <c r="K1870" s="331">
        <f t="shared" si="89"/>
        <v>108144</v>
      </c>
      <c r="L1870" s="199">
        <v>3.17</v>
      </c>
      <c r="M1870" s="199">
        <v>1.59</v>
      </c>
    </row>
    <row r="1871" spans="1:13" x14ac:dyDescent="0.25">
      <c r="A1871" s="49">
        <v>2013</v>
      </c>
      <c r="B1871" s="330" t="s">
        <v>53</v>
      </c>
      <c r="C1871" s="331">
        <v>20282269503</v>
      </c>
      <c r="D1871" s="331">
        <v>6701399737</v>
      </c>
      <c r="E1871" s="331">
        <v>203444922</v>
      </c>
      <c r="F1871" s="331">
        <v>214073</v>
      </c>
      <c r="G1871" s="370">
        <f t="shared" si="87"/>
        <v>1.0554686691661203E-5</v>
      </c>
      <c r="H1871" s="370">
        <f t="shared" si="88"/>
        <v>3.1944520309399357E-5</v>
      </c>
      <c r="I1871" s="331">
        <v>101772</v>
      </c>
      <c r="J1871" s="331">
        <v>0</v>
      </c>
      <c r="K1871" s="331">
        <f t="shared" si="89"/>
        <v>101772</v>
      </c>
      <c r="L1871" s="199">
        <v>3.04</v>
      </c>
      <c r="M1871" s="199">
        <v>1.59</v>
      </c>
    </row>
    <row r="1872" spans="1:13" x14ac:dyDescent="0.25">
      <c r="A1872" s="49">
        <v>2014</v>
      </c>
      <c r="B1872" s="330" t="s">
        <v>53</v>
      </c>
      <c r="C1872" s="331">
        <v>20653282838</v>
      </c>
      <c r="D1872" s="331">
        <v>6782209239</v>
      </c>
      <c r="E1872" s="331">
        <v>204820159</v>
      </c>
      <c r="F1872" s="331">
        <v>202616</v>
      </c>
      <c r="G1872" s="370">
        <f t="shared" si="87"/>
        <v>9.8103532300059624E-6</v>
      </c>
      <c r="H1872" s="370">
        <f t="shared" si="88"/>
        <v>2.9874631238872634E-5</v>
      </c>
      <c r="I1872" s="331">
        <v>105433</v>
      </c>
      <c r="J1872" s="331">
        <v>0</v>
      </c>
      <c r="K1872" s="331">
        <f t="shared" si="89"/>
        <v>105433</v>
      </c>
      <c r="L1872" s="333">
        <v>3.0199622539247937</v>
      </c>
      <c r="M1872" s="199">
        <v>1.59</v>
      </c>
    </row>
    <row r="1873" spans="1:13" x14ac:dyDescent="0.25">
      <c r="A1873" s="49">
        <v>2015</v>
      </c>
      <c r="B1873" s="330" t="s">
        <v>53</v>
      </c>
      <c r="C1873" s="334">
        <v>20599250000</v>
      </c>
      <c r="D1873" s="334">
        <v>6746146000</v>
      </c>
      <c r="E1873" s="334">
        <v>198714000</v>
      </c>
      <c r="F1873" s="331">
        <v>221970</v>
      </c>
      <c r="G1873" s="370">
        <f t="shared" si="87"/>
        <v>1.0775635035256138E-5</v>
      </c>
      <c r="H1873" s="370">
        <f t="shared" si="88"/>
        <v>3.2903230970690524E-5</v>
      </c>
      <c r="I1873" s="331">
        <v>82372</v>
      </c>
      <c r="J1873" s="199">
        <v>0</v>
      </c>
      <c r="K1873" s="331">
        <f t="shared" si="89"/>
        <v>82372</v>
      </c>
      <c r="L1873" s="199">
        <v>2.9</v>
      </c>
      <c r="M1873" s="199">
        <v>1.59</v>
      </c>
    </row>
    <row r="1874" spans="1:13" x14ac:dyDescent="0.25">
      <c r="A1874" s="49">
        <v>1980</v>
      </c>
      <c r="B1874" s="330" t="s">
        <v>54</v>
      </c>
      <c r="C1874" s="331">
        <v>2597001088</v>
      </c>
      <c r="D1874" s="331">
        <v>1144487854</v>
      </c>
      <c r="E1874" s="331">
        <v>12972023</v>
      </c>
      <c r="F1874" s="331">
        <v>16014</v>
      </c>
      <c r="G1874" s="370">
        <f t="shared" si="87"/>
        <v>6.1663432002381973E-6</v>
      </c>
      <c r="H1874" s="370">
        <f t="shared" si="88"/>
        <v>1.3992284797108908E-5</v>
      </c>
      <c r="I1874" s="331">
        <v>75101</v>
      </c>
      <c r="J1874" s="331">
        <v>0</v>
      </c>
      <c r="K1874" s="331">
        <f t="shared" si="89"/>
        <v>75101</v>
      </c>
      <c r="L1874" s="199">
        <v>1.1299999999999999</v>
      </c>
      <c r="M1874" s="199">
        <v>2.09</v>
      </c>
    </row>
    <row r="1875" spans="1:13" x14ac:dyDescent="0.25">
      <c r="A1875" s="49">
        <v>1981</v>
      </c>
      <c r="B1875" s="330" t="s">
        <v>54</v>
      </c>
      <c r="C1875" s="331">
        <v>3026693943</v>
      </c>
      <c r="D1875" s="331">
        <v>1245669589</v>
      </c>
      <c r="E1875" s="331">
        <v>14142766</v>
      </c>
      <c r="F1875" s="331">
        <v>25573</v>
      </c>
      <c r="G1875" s="370">
        <f t="shared" si="87"/>
        <v>8.4491529310864312E-6</v>
      </c>
      <c r="H1875" s="370">
        <f t="shared" si="88"/>
        <v>2.0529521010888224E-5</v>
      </c>
      <c r="I1875" s="331">
        <v>72452</v>
      </c>
      <c r="J1875" s="331">
        <v>0</v>
      </c>
      <c r="K1875" s="331">
        <f t="shared" si="89"/>
        <v>72452</v>
      </c>
      <c r="L1875" s="199">
        <v>1.1399999999999999</v>
      </c>
      <c r="M1875" s="199">
        <v>1.69</v>
      </c>
    </row>
    <row r="1876" spans="1:13" x14ac:dyDescent="0.25">
      <c r="A1876" s="49">
        <v>1982</v>
      </c>
      <c r="B1876" s="330" t="s">
        <v>54</v>
      </c>
      <c r="C1876" s="331">
        <v>3041726972</v>
      </c>
      <c r="D1876" s="331">
        <v>1161317809</v>
      </c>
      <c r="E1876" s="331">
        <v>26124157</v>
      </c>
      <c r="F1876" s="331">
        <v>59516</v>
      </c>
      <c r="G1876" s="370">
        <f t="shared" si="87"/>
        <v>1.9566516175798307E-5</v>
      </c>
      <c r="H1876" s="370">
        <f t="shared" si="88"/>
        <v>5.1248675891097093E-5</v>
      </c>
      <c r="I1876" s="331">
        <v>46006</v>
      </c>
      <c r="J1876" s="331">
        <v>0</v>
      </c>
      <c r="K1876" s="331">
        <f t="shared" si="89"/>
        <v>46006</v>
      </c>
      <c r="L1876" s="199">
        <v>2.25</v>
      </c>
      <c r="M1876" s="199">
        <v>1.6</v>
      </c>
    </row>
    <row r="1877" spans="1:13" x14ac:dyDescent="0.25">
      <c r="A1877" s="49">
        <v>1983</v>
      </c>
      <c r="B1877" s="330" t="s">
        <v>54</v>
      </c>
      <c r="C1877" s="331">
        <v>2646924795</v>
      </c>
      <c r="D1877" s="331">
        <v>1287773406</v>
      </c>
      <c r="E1877" s="331">
        <v>52050374</v>
      </c>
      <c r="F1877" s="331">
        <v>74511</v>
      </c>
      <c r="G1877" s="370">
        <f t="shared" si="87"/>
        <v>2.8150025320232039E-5</v>
      </c>
      <c r="H1877" s="370">
        <f t="shared" si="88"/>
        <v>5.7860334475644547E-5</v>
      </c>
      <c r="I1877" s="331">
        <v>6560</v>
      </c>
      <c r="J1877" s="331">
        <v>0</v>
      </c>
      <c r="K1877" s="331">
        <f t="shared" si="89"/>
        <v>6560</v>
      </c>
      <c r="L1877" s="199">
        <v>4.04</v>
      </c>
      <c r="M1877" s="199">
        <v>1.97</v>
      </c>
    </row>
    <row r="1878" spans="1:13" x14ac:dyDescent="0.25">
      <c r="A1878" s="49">
        <v>1984</v>
      </c>
      <c r="B1878" s="330" t="s">
        <v>54</v>
      </c>
      <c r="C1878" s="331">
        <v>2707692852</v>
      </c>
      <c r="D1878" s="331">
        <v>1365411577</v>
      </c>
      <c r="E1878" s="331">
        <v>51941947</v>
      </c>
      <c r="F1878" s="331">
        <v>34167</v>
      </c>
      <c r="G1878" s="370">
        <f t="shared" si="87"/>
        <v>1.2618491781578187E-5</v>
      </c>
      <c r="H1878" s="370">
        <f t="shared" si="88"/>
        <v>2.5023224187881628E-5</v>
      </c>
      <c r="I1878" s="331">
        <v>27277</v>
      </c>
      <c r="J1878" s="331">
        <v>0</v>
      </c>
      <c r="K1878" s="331">
        <f t="shared" si="89"/>
        <v>27277</v>
      </c>
      <c r="L1878" s="199">
        <v>3.8</v>
      </c>
      <c r="M1878" s="199">
        <v>2.09</v>
      </c>
    </row>
    <row r="1879" spans="1:13" x14ac:dyDescent="0.25">
      <c r="A1879" s="49">
        <v>1985</v>
      </c>
      <c r="B1879" s="330" t="s">
        <v>54</v>
      </c>
      <c r="C1879" s="331">
        <v>2828936196</v>
      </c>
      <c r="D1879" s="331">
        <v>1396933632</v>
      </c>
      <c r="E1879" s="331">
        <v>49968609</v>
      </c>
      <c r="F1879" s="331">
        <v>33924</v>
      </c>
      <c r="G1879" s="370">
        <f t="shared" si="87"/>
        <v>1.1991786894298693E-5</v>
      </c>
      <c r="H1879" s="370">
        <f t="shared" si="88"/>
        <v>2.4284618268822667E-5</v>
      </c>
      <c r="I1879" s="331">
        <v>45250</v>
      </c>
      <c r="J1879" s="331">
        <v>0</v>
      </c>
      <c r="K1879" s="331">
        <f t="shared" si="89"/>
        <v>45250</v>
      </c>
      <c r="L1879" s="199">
        <v>3.58</v>
      </c>
      <c r="M1879" s="199">
        <v>2.09</v>
      </c>
    </row>
    <row r="1880" spans="1:13" x14ac:dyDescent="0.25">
      <c r="A1880" s="49">
        <v>1986</v>
      </c>
      <c r="B1880" s="330" t="s">
        <v>54</v>
      </c>
      <c r="C1880" s="331">
        <v>2609179361</v>
      </c>
      <c r="D1880" s="331">
        <v>1326069537</v>
      </c>
      <c r="E1880" s="331">
        <v>45030792</v>
      </c>
      <c r="F1880" s="331">
        <v>61866</v>
      </c>
      <c r="G1880" s="370">
        <f t="shared" si="87"/>
        <v>2.3710903483572358E-5</v>
      </c>
      <c r="H1880" s="370">
        <f t="shared" si="88"/>
        <v>4.6653662024361846E-5</v>
      </c>
      <c r="I1880" s="331">
        <v>37383</v>
      </c>
      <c r="J1880" s="331">
        <v>0</v>
      </c>
      <c r="K1880" s="331">
        <f t="shared" si="89"/>
        <v>37383</v>
      </c>
      <c r="L1880" s="199">
        <v>3.4</v>
      </c>
      <c r="M1880" s="199">
        <v>2.4500000000000002</v>
      </c>
    </row>
    <row r="1881" spans="1:13" x14ac:dyDescent="0.25">
      <c r="A1881" s="49">
        <v>1987</v>
      </c>
      <c r="B1881" s="330" t="s">
        <v>54</v>
      </c>
      <c r="C1881" s="331">
        <v>2356640257</v>
      </c>
      <c r="D1881" s="331">
        <v>1190539604</v>
      </c>
      <c r="E1881" s="331">
        <v>33761307</v>
      </c>
      <c r="F1881" s="331">
        <v>50813</v>
      </c>
      <c r="G1881" s="370">
        <f t="shared" si="87"/>
        <v>2.1561627766082924E-5</v>
      </c>
      <c r="H1881" s="370">
        <f t="shared" si="88"/>
        <v>4.2680646514637071E-5</v>
      </c>
      <c r="I1881" s="331">
        <v>18357</v>
      </c>
      <c r="J1881" s="331">
        <v>0</v>
      </c>
      <c r="K1881" s="331">
        <f t="shared" si="89"/>
        <v>18357</v>
      </c>
      <c r="L1881" s="199">
        <v>2.84</v>
      </c>
      <c r="M1881" s="199">
        <v>2.5499999999999998</v>
      </c>
    </row>
    <row r="1882" spans="1:13" x14ac:dyDescent="0.25">
      <c r="A1882" s="49">
        <v>1988</v>
      </c>
      <c r="B1882" s="330" t="s">
        <v>54</v>
      </c>
      <c r="C1882" s="331">
        <v>2445195327</v>
      </c>
      <c r="D1882" s="331">
        <v>1198717197</v>
      </c>
      <c r="E1882" s="331">
        <v>38881613</v>
      </c>
      <c r="F1882" s="331">
        <v>25067</v>
      </c>
      <c r="G1882" s="370">
        <f t="shared" si="87"/>
        <v>1.0251532760270157E-5</v>
      </c>
      <c r="H1882" s="370">
        <f t="shared" si="88"/>
        <v>2.0911521135038826E-5</v>
      </c>
      <c r="I1882" s="331">
        <v>33737</v>
      </c>
      <c r="J1882" s="331">
        <v>0</v>
      </c>
      <c r="K1882" s="331">
        <f t="shared" si="89"/>
        <v>33737</v>
      </c>
      <c r="L1882" s="199">
        <v>3.24</v>
      </c>
      <c r="M1882" s="199">
        <v>2.5499999999999998</v>
      </c>
    </row>
    <row r="1883" spans="1:13" x14ac:dyDescent="0.25">
      <c r="A1883" s="49">
        <v>1989</v>
      </c>
      <c r="B1883" s="330" t="s">
        <v>54</v>
      </c>
      <c r="C1883" s="331">
        <v>2521112841</v>
      </c>
      <c r="D1883" s="331">
        <v>1236939218</v>
      </c>
      <c r="E1883" s="331">
        <v>40632544</v>
      </c>
      <c r="F1883" s="331">
        <v>22991</v>
      </c>
      <c r="G1883" s="370">
        <f t="shared" si="87"/>
        <v>9.1193855451867105E-6</v>
      </c>
      <c r="H1883" s="370">
        <f t="shared" si="88"/>
        <v>1.8587008694876711E-5</v>
      </c>
      <c r="I1883" s="331">
        <v>54175</v>
      </c>
      <c r="J1883" s="331">
        <v>0</v>
      </c>
      <c r="K1883" s="331">
        <f t="shared" si="89"/>
        <v>54175</v>
      </c>
      <c r="L1883" s="199">
        <v>3.28</v>
      </c>
      <c r="M1883" s="199">
        <v>2.5499999999999998</v>
      </c>
    </row>
    <row r="1884" spans="1:13" x14ac:dyDescent="0.25">
      <c r="A1884" s="49">
        <v>1990</v>
      </c>
      <c r="B1884" s="330" t="s">
        <v>54</v>
      </c>
      <c r="C1884" s="331">
        <v>2722105181</v>
      </c>
      <c r="D1884" s="331">
        <v>1292165650</v>
      </c>
      <c r="E1884" s="331">
        <v>41604857</v>
      </c>
      <c r="F1884" s="331">
        <v>19020</v>
      </c>
      <c r="G1884" s="370">
        <f t="shared" si="87"/>
        <v>6.9872391900054209E-6</v>
      </c>
      <c r="H1884" s="370">
        <f t="shared" si="88"/>
        <v>1.4719475014677878E-5</v>
      </c>
      <c r="I1884" s="331">
        <v>82855</v>
      </c>
      <c r="J1884" s="331">
        <v>0</v>
      </c>
      <c r="K1884" s="331">
        <f t="shared" si="89"/>
        <v>82855</v>
      </c>
      <c r="L1884" s="199">
        <v>3.22</v>
      </c>
      <c r="M1884" s="199">
        <v>2.5499999999999998</v>
      </c>
    </row>
    <row r="1885" spans="1:13" x14ac:dyDescent="0.25">
      <c r="A1885" s="49">
        <v>1991</v>
      </c>
      <c r="B1885" s="330" t="s">
        <v>54</v>
      </c>
      <c r="C1885" s="331">
        <v>2845361248</v>
      </c>
      <c r="D1885" s="331">
        <v>1351931812</v>
      </c>
      <c r="E1885" s="331">
        <v>29891648</v>
      </c>
      <c r="F1885" s="331">
        <v>23663</v>
      </c>
      <c r="G1885" s="370">
        <f t="shared" si="87"/>
        <v>8.3163429658124031E-6</v>
      </c>
      <c r="H1885" s="370">
        <f t="shared" si="88"/>
        <v>1.7503101702292067E-5</v>
      </c>
      <c r="I1885" s="331">
        <v>98952</v>
      </c>
      <c r="J1885" s="331">
        <v>0</v>
      </c>
      <c r="K1885" s="331">
        <f t="shared" si="89"/>
        <v>98952</v>
      </c>
      <c r="L1885" s="199">
        <v>2.21</v>
      </c>
      <c r="M1885" s="199">
        <v>2.5499999999999998</v>
      </c>
    </row>
    <row r="1886" spans="1:13" x14ac:dyDescent="0.25">
      <c r="A1886" s="49">
        <v>1992</v>
      </c>
      <c r="B1886" s="330" t="s">
        <v>54</v>
      </c>
      <c r="C1886" s="331">
        <v>2957447848</v>
      </c>
      <c r="D1886" s="331">
        <v>1402925236</v>
      </c>
      <c r="E1886" s="331">
        <v>30787991</v>
      </c>
      <c r="F1886" s="331">
        <v>27783</v>
      </c>
      <c r="G1886" s="370">
        <f t="shared" si="87"/>
        <v>9.3942484966517651E-6</v>
      </c>
      <c r="H1886" s="370">
        <f t="shared" si="88"/>
        <v>1.9803621238730072E-5</v>
      </c>
      <c r="I1886" s="331">
        <v>109826</v>
      </c>
      <c r="J1886" s="331">
        <v>0</v>
      </c>
      <c r="K1886" s="331">
        <f t="shared" si="89"/>
        <v>109826</v>
      </c>
      <c r="L1886" s="199">
        <v>2.19</v>
      </c>
      <c r="M1886" s="199">
        <v>2.5499999999999998</v>
      </c>
    </row>
    <row r="1887" spans="1:13" x14ac:dyDescent="0.25">
      <c r="A1887" s="49">
        <v>1993</v>
      </c>
      <c r="B1887" s="330" t="s">
        <v>54</v>
      </c>
      <c r="C1887" s="331">
        <v>3122690604</v>
      </c>
      <c r="D1887" s="331">
        <v>1478341280</v>
      </c>
      <c r="E1887" s="331">
        <v>32456591</v>
      </c>
      <c r="F1887" s="331">
        <v>22535</v>
      </c>
      <c r="G1887" s="370">
        <f t="shared" si="87"/>
        <v>7.2165330664311946E-6</v>
      </c>
      <c r="H1887" s="370">
        <f t="shared" si="88"/>
        <v>1.5243435534723078E-5</v>
      </c>
      <c r="I1887" s="331">
        <v>127332</v>
      </c>
      <c r="J1887" s="331">
        <v>0</v>
      </c>
      <c r="K1887" s="331">
        <f t="shared" si="89"/>
        <v>127332</v>
      </c>
      <c r="L1887" s="199">
        <v>2.2000000000000002</v>
      </c>
      <c r="M1887" s="199">
        <v>2.5499999999999998</v>
      </c>
    </row>
    <row r="1888" spans="1:13" x14ac:dyDescent="0.25">
      <c r="A1888" s="49">
        <v>1994</v>
      </c>
      <c r="B1888" s="330" t="s">
        <v>54</v>
      </c>
      <c r="C1888" s="331">
        <v>3294000748</v>
      </c>
      <c r="D1888" s="331">
        <v>1571399330</v>
      </c>
      <c r="E1888" s="331">
        <v>24397581</v>
      </c>
      <c r="F1888" s="331">
        <v>25352</v>
      </c>
      <c r="G1888" s="370">
        <f t="shared" si="87"/>
        <v>7.6964159815060251E-6</v>
      </c>
      <c r="H1888" s="370">
        <f t="shared" si="88"/>
        <v>1.6133391122166253E-5</v>
      </c>
      <c r="I1888" s="331">
        <v>136755</v>
      </c>
      <c r="J1888" s="331">
        <v>0</v>
      </c>
      <c r="K1888" s="331">
        <f t="shared" si="89"/>
        <v>136755</v>
      </c>
      <c r="L1888" s="199">
        <v>1.55</v>
      </c>
      <c r="M1888" s="199">
        <v>2.5499999999999998</v>
      </c>
    </row>
    <row r="1889" spans="1:13" x14ac:dyDescent="0.25">
      <c r="A1889" s="49">
        <v>1995</v>
      </c>
      <c r="B1889" s="330" t="s">
        <v>54</v>
      </c>
      <c r="C1889" s="331">
        <v>3375392074</v>
      </c>
      <c r="D1889" s="331">
        <v>1639728912</v>
      </c>
      <c r="E1889" s="331">
        <v>24669065</v>
      </c>
      <c r="F1889" s="331">
        <v>28640</v>
      </c>
      <c r="G1889" s="370">
        <f t="shared" si="87"/>
        <v>8.4849402297909179E-6</v>
      </c>
      <c r="H1889" s="370">
        <f t="shared" si="88"/>
        <v>1.7466301771228389E-5</v>
      </c>
      <c r="I1889" s="331">
        <v>142310</v>
      </c>
      <c r="J1889" s="331">
        <v>0</v>
      </c>
      <c r="K1889" s="331">
        <f t="shared" si="89"/>
        <v>142310</v>
      </c>
      <c r="L1889" s="199">
        <v>1.5</v>
      </c>
      <c r="M1889" s="199">
        <v>2.5499999999999998</v>
      </c>
    </row>
    <row r="1890" spans="1:13" x14ac:dyDescent="0.25">
      <c r="A1890" s="49">
        <v>1996</v>
      </c>
      <c r="B1890" s="330" t="s">
        <v>54</v>
      </c>
      <c r="C1890" s="331">
        <v>3493077086</v>
      </c>
      <c r="D1890" s="331">
        <v>1695081719</v>
      </c>
      <c r="E1890" s="331">
        <v>25294281</v>
      </c>
      <c r="F1890" s="331">
        <v>30162</v>
      </c>
      <c r="G1890" s="370">
        <f t="shared" si="87"/>
        <v>8.6347936954747175E-6</v>
      </c>
      <c r="H1890" s="370">
        <f t="shared" si="88"/>
        <v>1.779383239280867E-5</v>
      </c>
      <c r="I1890" s="331">
        <v>147087</v>
      </c>
      <c r="J1890" s="331">
        <v>0</v>
      </c>
      <c r="K1890" s="331">
        <f t="shared" si="89"/>
        <v>147087</v>
      </c>
      <c r="L1890" s="199">
        <v>1.49</v>
      </c>
      <c r="M1890" s="199">
        <v>2.5499999999999998</v>
      </c>
    </row>
    <row r="1891" spans="1:13" x14ac:dyDescent="0.25">
      <c r="A1891" s="49">
        <v>1997</v>
      </c>
      <c r="B1891" s="330" t="s">
        <v>54</v>
      </c>
      <c r="C1891" s="331">
        <v>3741352217</v>
      </c>
      <c r="D1891" s="331">
        <v>1784998961</v>
      </c>
      <c r="E1891" s="331">
        <v>28193877</v>
      </c>
      <c r="F1891" s="331">
        <v>25297</v>
      </c>
      <c r="G1891" s="370">
        <f t="shared" si="87"/>
        <v>6.7614591016197818E-6</v>
      </c>
      <c r="H1891" s="370">
        <f t="shared" si="88"/>
        <v>1.4171997044652622E-5</v>
      </c>
      <c r="I1891" s="331">
        <v>158573</v>
      </c>
      <c r="J1891" s="331">
        <v>0</v>
      </c>
      <c r="K1891" s="331">
        <f t="shared" si="89"/>
        <v>158573</v>
      </c>
      <c r="L1891" s="199">
        <v>1.58</v>
      </c>
      <c r="M1891" s="199">
        <v>2.5499999999999998</v>
      </c>
    </row>
    <row r="1892" spans="1:13" x14ac:dyDescent="0.25">
      <c r="A1892" s="49">
        <v>1998</v>
      </c>
      <c r="B1892" s="330" t="s">
        <v>54</v>
      </c>
      <c r="C1892" s="331">
        <v>3961023210</v>
      </c>
      <c r="D1892" s="331">
        <v>1889488422</v>
      </c>
      <c r="E1892" s="331">
        <v>29187629</v>
      </c>
      <c r="F1892" s="331">
        <v>22904</v>
      </c>
      <c r="G1892" s="370">
        <f t="shared" si="87"/>
        <v>5.7823443049201424E-6</v>
      </c>
      <c r="H1892" s="370">
        <f t="shared" si="88"/>
        <v>1.2121799601056248E-5</v>
      </c>
      <c r="I1892" s="331">
        <v>168259</v>
      </c>
      <c r="J1892" s="331">
        <v>0</v>
      </c>
      <c r="K1892" s="331">
        <f t="shared" si="89"/>
        <v>168259</v>
      </c>
      <c r="L1892" s="199">
        <v>1.54</v>
      </c>
      <c r="M1892" s="199">
        <v>2.5499999999999998</v>
      </c>
    </row>
    <row r="1893" spans="1:13" x14ac:dyDescent="0.25">
      <c r="A1893" s="49">
        <v>1999</v>
      </c>
      <c r="B1893" s="330" t="s">
        <v>54</v>
      </c>
      <c r="C1893" s="331">
        <v>4215488010</v>
      </c>
      <c r="D1893" s="331">
        <v>2035157980</v>
      </c>
      <c r="E1893" s="331">
        <v>29508280</v>
      </c>
      <c r="F1893" s="331">
        <v>25590</v>
      </c>
      <c r="G1893" s="370">
        <f t="shared" si="87"/>
        <v>6.0704715419176346E-6</v>
      </c>
      <c r="H1893" s="370">
        <f t="shared" si="88"/>
        <v>1.2573962440006746E-5</v>
      </c>
      <c r="I1893" s="331">
        <v>175869</v>
      </c>
      <c r="J1893" s="331">
        <v>0</v>
      </c>
      <c r="K1893" s="331">
        <f t="shared" si="89"/>
        <v>175869</v>
      </c>
      <c r="L1893" s="199">
        <v>1.45</v>
      </c>
      <c r="M1893" s="199">
        <v>2.5499999999999998</v>
      </c>
    </row>
    <row r="1894" spans="1:13" x14ac:dyDescent="0.25">
      <c r="A1894" s="49">
        <v>2000</v>
      </c>
      <c r="B1894" s="330" t="s">
        <v>54</v>
      </c>
      <c r="C1894" s="331">
        <v>4555011653</v>
      </c>
      <c r="D1894" s="331">
        <v>2168269759</v>
      </c>
      <c r="E1894" s="331">
        <v>29541655</v>
      </c>
      <c r="F1894" s="331">
        <v>24764</v>
      </c>
      <c r="G1894" s="370">
        <f t="shared" si="87"/>
        <v>5.4366490991719097E-6</v>
      </c>
      <c r="H1894" s="370">
        <f t="shared" si="88"/>
        <v>1.142108812670112E-5</v>
      </c>
      <c r="I1894" s="331">
        <v>186565</v>
      </c>
      <c r="J1894" s="331">
        <v>0</v>
      </c>
      <c r="K1894" s="331">
        <f t="shared" si="89"/>
        <v>186565</v>
      </c>
      <c r="L1894" s="199">
        <v>1.36</v>
      </c>
      <c r="M1894" s="199">
        <v>2.5499999999999998</v>
      </c>
    </row>
    <row r="1895" spans="1:13" x14ac:dyDescent="0.25">
      <c r="A1895" s="49">
        <v>2001</v>
      </c>
      <c r="B1895" s="330" t="s">
        <v>54</v>
      </c>
      <c r="C1895" s="331">
        <v>4896069718</v>
      </c>
      <c r="D1895" s="331">
        <v>2362347404</v>
      </c>
      <c r="E1895" s="331">
        <v>28190826</v>
      </c>
      <c r="F1895" s="331">
        <v>25456</v>
      </c>
      <c r="G1895" s="370">
        <f t="shared" si="87"/>
        <v>5.1992723686946484E-6</v>
      </c>
      <c r="H1895" s="370">
        <f t="shared" si="88"/>
        <v>1.0775722468633153E-5</v>
      </c>
      <c r="I1895" s="331">
        <v>195135</v>
      </c>
      <c r="J1895" s="331">
        <v>0</v>
      </c>
      <c r="K1895" s="331">
        <f t="shared" si="89"/>
        <v>195135</v>
      </c>
      <c r="L1895" s="199">
        <v>1.19</v>
      </c>
      <c r="M1895" s="199">
        <v>2.5499999999999998</v>
      </c>
    </row>
    <row r="1896" spans="1:13" x14ac:dyDescent="0.25">
      <c r="A1896" s="49">
        <v>2002</v>
      </c>
      <c r="B1896" s="330" t="s">
        <v>54</v>
      </c>
      <c r="C1896" s="331">
        <v>5046046534</v>
      </c>
      <c r="D1896" s="331">
        <v>2440094804</v>
      </c>
      <c r="E1896" s="331">
        <v>19545595</v>
      </c>
      <c r="F1896" s="331">
        <v>38531</v>
      </c>
      <c r="G1896" s="370">
        <f t="shared" si="87"/>
        <v>7.6358788489920013E-6</v>
      </c>
      <c r="H1896" s="370">
        <f t="shared" si="88"/>
        <v>1.5790779906107289E-5</v>
      </c>
      <c r="I1896" s="331">
        <v>197699</v>
      </c>
      <c r="J1896" s="331">
        <v>0</v>
      </c>
      <c r="K1896" s="331">
        <f t="shared" si="89"/>
        <v>197699</v>
      </c>
      <c r="L1896" s="199">
        <v>0.8</v>
      </c>
      <c r="M1896" s="199">
        <v>2.5499999999999998</v>
      </c>
    </row>
    <row r="1897" spans="1:13" x14ac:dyDescent="0.25">
      <c r="A1897" s="49">
        <v>2003</v>
      </c>
      <c r="B1897" s="330" t="s">
        <v>54</v>
      </c>
      <c r="C1897" s="331">
        <v>5241820390</v>
      </c>
      <c r="D1897" s="331">
        <v>2491859734</v>
      </c>
      <c r="E1897" s="331">
        <v>20491506</v>
      </c>
      <c r="F1897" s="331">
        <v>46516</v>
      </c>
      <c r="G1897" s="370">
        <f t="shared" si="87"/>
        <v>8.8740163796417294E-6</v>
      </c>
      <c r="H1897" s="370">
        <f t="shared" si="88"/>
        <v>1.866718233186074E-5</v>
      </c>
      <c r="I1897" s="331">
        <v>177597</v>
      </c>
      <c r="J1897" s="331">
        <v>0</v>
      </c>
      <c r="K1897" s="331">
        <f t="shared" si="89"/>
        <v>177597</v>
      </c>
      <c r="L1897" s="199">
        <v>0.82</v>
      </c>
      <c r="M1897" s="199">
        <v>2.5499999999999998</v>
      </c>
    </row>
    <row r="1898" spans="1:13" x14ac:dyDescent="0.25">
      <c r="A1898" s="49">
        <v>2004</v>
      </c>
      <c r="B1898" s="330" t="s">
        <v>54</v>
      </c>
      <c r="C1898" s="331">
        <v>5649022156</v>
      </c>
      <c r="D1898" s="331">
        <v>2747279895</v>
      </c>
      <c r="E1898" s="331">
        <v>30787677</v>
      </c>
      <c r="F1898" s="331">
        <v>39814</v>
      </c>
      <c r="G1898" s="370">
        <f t="shared" si="87"/>
        <v>7.0479454497646691E-6</v>
      </c>
      <c r="H1898" s="370">
        <f t="shared" si="88"/>
        <v>1.4492152791734386E-5</v>
      </c>
      <c r="I1898" s="331">
        <v>172398</v>
      </c>
      <c r="J1898" s="331">
        <v>0</v>
      </c>
      <c r="K1898" s="331">
        <f t="shared" si="89"/>
        <v>172398</v>
      </c>
      <c r="L1898" s="199">
        <v>1.1200000000000001</v>
      </c>
      <c r="M1898" s="199">
        <v>2.5499999999999998</v>
      </c>
    </row>
    <row r="1899" spans="1:13" x14ac:dyDescent="0.25">
      <c r="A1899" s="49">
        <v>2005</v>
      </c>
      <c r="B1899" s="330" t="s">
        <v>54</v>
      </c>
      <c r="C1899" s="331">
        <v>6256763625</v>
      </c>
      <c r="D1899" s="331">
        <v>3019857043</v>
      </c>
      <c r="E1899" s="331">
        <v>40634593</v>
      </c>
      <c r="F1899" s="331">
        <v>32783</v>
      </c>
      <c r="G1899" s="370">
        <f t="shared" si="87"/>
        <v>5.2396097990676452E-6</v>
      </c>
      <c r="H1899" s="370">
        <f t="shared" si="88"/>
        <v>1.0855811892152538E-5</v>
      </c>
      <c r="I1899" s="331">
        <v>183966</v>
      </c>
      <c r="J1899" s="331">
        <v>0</v>
      </c>
      <c r="K1899" s="331">
        <f t="shared" si="89"/>
        <v>183966</v>
      </c>
      <c r="L1899" s="199">
        <v>1.35</v>
      </c>
      <c r="M1899" s="199">
        <v>2.5499999999999998</v>
      </c>
    </row>
    <row r="1900" spans="1:13" x14ac:dyDescent="0.25">
      <c r="A1900" s="49">
        <v>2006</v>
      </c>
      <c r="B1900" s="330" t="s">
        <v>54</v>
      </c>
      <c r="C1900" s="331">
        <v>7423095126</v>
      </c>
      <c r="D1900" s="331">
        <v>3449936232</v>
      </c>
      <c r="E1900" s="331">
        <v>57163183</v>
      </c>
      <c r="F1900" s="331">
        <v>27917</v>
      </c>
      <c r="G1900" s="370">
        <f t="shared" si="87"/>
        <v>3.7608301559033529E-6</v>
      </c>
      <c r="H1900" s="370">
        <f t="shared" si="88"/>
        <v>8.0920336268986439E-6</v>
      </c>
      <c r="I1900" s="331">
        <v>216070</v>
      </c>
      <c r="J1900" s="331">
        <v>0</v>
      </c>
      <c r="K1900" s="331">
        <f t="shared" si="89"/>
        <v>216070</v>
      </c>
      <c r="L1900" s="199">
        <v>1.66</v>
      </c>
      <c r="M1900" s="199">
        <v>2.5499999999999998</v>
      </c>
    </row>
    <row r="1901" spans="1:13" x14ac:dyDescent="0.25">
      <c r="A1901" s="49">
        <v>2007</v>
      </c>
      <c r="B1901" s="330" t="s">
        <v>54</v>
      </c>
      <c r="C1901" s="331">
        <v>8304399492</v>
      </c>
      <c r="D1901" s="331">
        <v>3870299606</v>
      </c>
      <c r="E1901" s="331">
        <v>54785566</v>
      </c>
      <c r="F1901" s="331">
        <v>33901</v>
      </c>
      <c r="G1901" s="370">
        <f t="shared" si="87"/>
        <v>4.0822939735327464E-6</v>
      </c>
      <c r="H1901" s="370">
        <f t="shared" si="88"/>
        <v>8.7592701989903778E-6</v>
      </c>
      <c r="I1901" s="331">
        <v>243500</v>
      </c>
      <c r="J1901" s="331">
        <v>0</v>
      </c>
      <c r="K1901" s="331">
        <f t="shared" si="89"/>
        <v>243500</v>
      </c>
      <c r="L1901" s="199">
        <v>1.42</v>
      </c>
      <c r="M1901" s="199">
        <v>2.5499999999999998</v>
      </c>
    </row>
    <row r="1902" spans="1:13" x14ac:dyDescent="0.25">
      <c r="A1902" s="49">
        <v>2008</v>
      </c>
      <c r="B1902" s="330" t="s">
        <v>54</v>
      </c>
      <c r="C1902" s="331">
        <v>9080689529</v>
      </c>
      <c r="D1902" s="331">
        <v>4357896277</v>
      </c>
      <c r="E1902" s="331">
        <v>55134967</v>
      </c>
      <c r="F1902" s="331">
        <v>49944</v>
      </c>
      <c r="G1902" s="370">
        <f t="shared" si="87"/>
        <v>5.5000228606538453E-6</v>
      </c>
      <c r="H1902" s="370">
        <f t="shared" si="88"/>
        <v>1.1460575659772638E-5</v>
      </c>
      <c r="I1902" s="331">
        <v>258778</v>
      </c>
      <c r="J1902" s="331">
        <v>0</v>
      </c>
      <c r="K1902" s="331">
        <f t="shared" si="89"/>
        <v>258778</v>
      </c>
      <c r="L1902" s="199">
        <v>1.3</v>
      </c>
      <c r="M1902" s="199">
        <v>2.5499999999999998</v>
      </c>
    </row>
    <row r="1903" spans="1:13" x14ac:dyDescent="0.25">
      <c r="A1903" s="49">
        <v>2009</v>
      </c>
      <c r="B1903" s="330" t="s">
        <v>54</v>
      </c>
      <c r="C1903" s="331">
        <v>8233478915</v>
      </c>
      <c r="D1903" s="331">
        <v>4086347192</v>
      </c>
      <c r="E1903" s="331">
        <v>50181875</v>
      </c>
      <c r="F1903" s="331">
        <v>161485</v>
      </c>
      <c r="G1903" s="370">
        <f t="shared" si="87"/>
        <v>1.9613215952469587E-5</v>
      </c>
      <c r="H1903" s="370">
        <f t="shared" si="88"/>
        <v>3.9518179051487704E-5</v>
      </c>
      <c r="I1903" s="331">
        <v>155048</v>
      </c>
      <c r="J1903" s="331">
        <v>0</v>
      </c>
      <c r="K1903" s="331">
        <f t="shared" si="89"/>
        <v>155048</v>
      </c>
      <c r="L1903" s="199">
        <v>1.2</v>
      </c>
      <c r="M1903" s="199">
        <v>1.26</v>
      </c>
    </row>
    <row r="1904" spans="1:13" x14ac:dyDescent="0.25">
      <c r="A1904" s="49">
        <v>2010</v>
      </c>
      <c r="B1904" s="330" t="s">
        <v>54</v>
      </c>
      <c r="C1904" s="331">
        <v>8359857037</v>
      </c>
      <c r="D1904" s="331">
        <v>4233274361</v>
      </c>
      <c r="E1904" s="331">
        <v>100258033</v>
      </c>
      <c r="F1904" s="331">
        <v>119783</v>
      </c>
      <c r="G1904" s="370">
        <f t="shared" si="87"/>
        <v>1.4328355074716094E-5</v>
      </c>
      <c r="H1904" s="370">
        <f t="shared" si="88"/>
        <v>2.8295591021344623E-5</v>
      </c>
      <c r="I1904" s="331">
        <v>124298</v>
      </c>
      <c r="J1904" s="331">
        <v>0</v>
      </c>
      <c r="K1904" s="331">
        <f t="shared" si="89"/>
        <v>124298</v>
      </c>
      <c r="L1904" s="199">
        <v>2.4</v>
      </c>
      <c r="M1904" s="199">
        <v>1.44</v>
      </c>
    </row>
    <row r="1905" spans="1:13" x14ac:dyDescent="0.25">
      <c r="A1905" s="49">
        <v>2011</v>
      </c>
      <c r="B1905" s="330" t="s">
        <v>54</v>
      </c>
      <c r="C1905" s="331">
        <v>8854942172</v>
      </c>
      <c r="D1905" s="331">
        <v>4314936013</v>
      </c>
      <c r="E1905" s="331">
        <v>129135817</v>
      </c>
      <c r="F1905" s="331">
        <v>86415</v>
      </c>
      <c r="G1905" s="370">
        <f t="shared" si="87"/>
        <v>9.7589570119668086E-6</v>
      </c>
      <c r="H1905" s="370">
        <f t="shared" si="88"/>
        <v>2.0026948195674207E-5</v>
      </c>
      <c r="I1905" s="331">
        <v>158889</v>
      </c>
      <c r="J1905" s="331">
        <v>0</v>
      </c>
      <c r="K1905" s="331">
        <f t="shared" si="89"/>
        <v>158889</v>
      </c>
      <c r="L1905" s="199">
        <v>3</v>
      </c>
      <c r="M1905" s="199">
        <v>1.46</v>
      </c>
    </row>
    <row r="1906" spans="1:13" x14ac:dyDescent="0.25">
      <c r="A1906" s="49">
        <v>2012</v>
      </c>
      <c r="B1906" s="330" t="s">
        <v>54</v>
      </c>
      <c r="C1906" s="331">
        <v>9286981744</v>
      </c>
      <c r="D1906" s="331">
        <v>4498211944</v>
      </c>
      <c r="E1906" s="331">
        <v>145106869</v>
      </c>
      <c r="F1906" s="331">
        <v>77425</v>
      </c>
      <c r="G1906" s="370">
        <f t="shared" si="87"/>
        <v>8.3369389683598362E-6</v>
      </c>
      <c r="H1906" s="370">
        <f t="shared" si="88"/>
        <v>1.7212394827965892E-5</v>
      </c>
      <c r="I1906" s="331">
        <v>221722</v>
      </c>
      <c r="J1906" s="331">
        <v>0</v>
      </c>
      <c r="K1906" s="331">
        <f t="shared" si="89"/>
        <v>221722</v>
      </c>
      <c r="L1906" s="199">
        <v>3.23</v>
      </c>
      <c r="M1906" s="199">
        <v>1.46</v>
      </c>
    </row>
    <row r="1907" spans="1:13" x14ac:dyDescent="0.25">
      <c r="A1907" s="49">
        <v>2013</v>
      </c>
      <c r="B1907" s="330" t="s">
        <v>54</v>
      </c>
      <c r="C1907" s="331">
        <v>9418966156</v>
      </c>
      <c r="D1907" s="331">
        <v>4622959689</v>
      </c>
      <c r="E1907" s="331">
        <v>141289382</v>
      </c>
      <c r="F1907" s="331">
        <v>75174</v>
      </c>
      <c r="G1907" s="370">
        <f t="shared" si="87"/>
        <v>7.9811307053177191E-6</v>
      </c>
      <c r="H1907" s="370">
        <f t="shared" si="88"/>
        <v>1.6261011355749246E-5</v>
      </c>
      <c r="I1907" s="331">
        <v>289461</v>
      </c>
      <c r="J1907" s="331">
        <v>0</v>
      </c>
      <c r="K1907" s="331">
        <f t="shared" si="89"/>
        <v>289461</v>
      </c>
      <c r="L1907" s="199">
        <v>3.06</v>
      </c>
      <c r="M1907" s="199">
        <v>1.46</v>
      </c>
    </row>
    <row r="1908" spans="1:13" x14ac:dyDescent="0.25">
      <c r="A1908" s="49">
        <v>2014</v>
      </c>
      <c r="B1908" s="330" t="s">
        <v>54</v>
      </c>
      <c r="C1908" s="331">
        <v>10009528602</v>
      </c>
      <c r="D1908" s="331">
        <v>4955071122</v>
      </c>
      <c r="E1908" s="331">
        <v>118624328</v>
      </c>
      <c r="F1908" s="331">
        <v>56027</v>
      </c>
      <c r="G1908" s="370">
        <f t="shared" si="87"/>
        <v>5.5973664922447264E-6</v>
      </c>
      <c r="H1908" s="370">
        <f t="shared" si="88"/>
        <v>1.1307002184337164E-5</v>
      </c>
      <c r="I1908" s="331">
        <v>351558</v>
      </c>
      <c r="J1908" s="331">
        <v>0</v>
      </c>
      <c r="K1908" s="331">
        <f t="shared" si="89"/>
        <v>351558</v>
      </c>
      <c r="L1908" s="333">
        <v>2.3939984932470559</v>
      </c>
      <c r="M1908" s="199">
        <v>1.46</v>
      </c>
    </row>
    <row r="1909" spans="1:13" x14ac:dyDescent="0.25">
      <c r="A1909" s="49">
        <v>2015</v>
      </c>
      <c r="B1909" s="330" t="s">
        <v>54</v>
      </c>
      <c r="C1909" s="334">
        <v>9781295000</v>
      </c>
      <c r="D1909" s="334">
        <v>4920844000</v>
      </c>
      <c r="E1909" s="334">
        <v>71708000</v>
      </c>
      <c r="F1909" s="331">
        <v>86397</v>
      </c>
      <c r="G1909" s="370">
        <f t="shared" si="87"/>
        <v>8.8328794909058565E-6</v>
      </c>
      <c r="H1909" s="370">
        <f t="shared" si="88"/>
        <v>1.7557353982365628E-5</v>
      </c>
      <c r="I1909" s="331">
        <v>345994</v>
      </c>
      <c r="J1909" s="199">
        <v>0</v>
      </c>
      <c r="K1909" s="331">
        <f t="shared" si="89"/>
        <v>345994</v>
      </c>
      <c r="L1909" s="199">
        <v>1.4</v>
      </c>
      <c r="M1909" s="199">
        <v>1.46</v>
      </c>
    </row>
    <row r="1911" spans="1:13" x14ac:dyDescent="0.25">
      <c r="G1911" s="371"/>
    </row>
  </sheetData>
  <sortState ref="A1:M1909">
    <sortCondition ref="B1:B1909"/>
    <sortCondition ref="A1:A1909"/>
  </sortState>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9" tint="0.59999389629810485"/>
  </sheetPr>
  <dimension ref="A1:O57"/>
  <sheetViews>
    <sheetView topLeftCell="A19" workbookViewId="0">
      <selection activeCell="L29" sqref="L29"/>
    </sheetView>
  </sheetViews>
  <sheetFormatPr defaultRowHeight="15" x14ac:dyDescent="0.25"/>
  <cols>
    <col min="1" max="1" width="3" style="50" bestFit="1" customWidth="1"/>
    <col min="2" max="2" width="4.140625" style="50" bestFit="1" customWidth="1"/>
    <col min="3" max="3" width="21.85546875" style="50" bestFit="1" customWidth="1"/>
    <col min="4" max="4" width="3" style="50" bestFit="1" customWidth="1"/>
    <col min="5" max="5" width="5" style="50" bestFit="1" customWidth="1"/>
    <col min="6" max="7" width="3" style="50" bestFit="1" customWidth="1"/>
    <col min="8" max="8" width="25" style="50" customWidth="1"/>
    <col min="9" max="9" width="13.85546875" style="50" bestFit="1" customWidth="1"/>
    <col min="10" max="10" width="5" style="50" bestFit="1" customWidth="1"/>
    <col min="11" max="11" width="3" style="50" bestFit="1" customWidth="1"/>
    <col min="12" max="12" width="27.5703125" style="50" bestFit="1" customWidth="1"/>
    <col min="13" max="13" width="12.7109375" style="50" bestFit="1" customWidth="1"/>
    <col min="14" max="14" width="13.85546875" style="50" bestFit="1" customWidth="1"/>
    <col min="15" max="16384" width="9.140625" style="50"/>
  </cols>
  <sheetData>
    <row r="1" spans="1:15" ht="21" x14ac:dyDescent="0.35">
      <c r="C1" s="144" t="s">
        <v>172</v>
      </c>
    </row>
    <row r="2" spans="1:15" ht="21" x14ac:dyDescent="0.35">
      <c r="C2" s="144" t="s">
        <v>173</v>
      </c>
    </row>
    <row r="3" spans="1:15" ht="21" x14ac:dyDescent="0.35">
      <c r="C3" s="144"/>
    </row>
    <row r="4" spans="1:15" ht="15.75" thickBot="1" x14ac:dyDescent="0.3">
      <c r="B4" s="50" t="s">
        <v>174</v>
      </c>
      <c r="C4" s="50" t="s">
        <v>1</v>
      </c>
      <c r="E4" s="50" t="s">
        <v>0</v>
      </c>
    </row>
    <row r="5" spans="1:15" ht="15.75" thickBot="1" x14ac:dyDescent="0.3">
      <c r="A5" s="49">
        <v>1</v>
      </c>
      <c r="B5" s="50" t="s">
        <v>2</v>
      </c>
      <c r="C5" s="50" t="s">
        <v>62</v>
      </c>
      <c r="D5" s="49">
        <v>1</v>
      </c>
      <c r="E5" s="49">
        <v>2000</v>
      </c>
      <c r="F5" s="49">
        <v>1</v>
      </c>
      <c r="G5" s="49">
        <v>5</v>
      </c>
      <c r="H5" s="336" t="s">
        <v>117</v>
      </c>
      <c r="I5" s="337">
        <v>5</v>
      </c>
      <c r="J5" s="338">
        <v>16</v>
      </c>
      <c r="K5" s="339">
        <v>17</v>
      </c>
    </row>
    <row r="6" spans="1:15" x14ac:dyDescent="0.25">
      <c r="A6" s="49">
        <v>2</v>
      </c>
      <c r="B6" s="50" t="s">
        <v>3</v>
      </c>
      <c r="C6" s="50" t="s">
        <v>63</v>
      </c>
      <c r="D6" s="49">
        <v>2</v>
      </c>
      <c r="E6" s="49">
        <v>2001</v>
      </c>
      <c r="F6" s="49">
        <v>2</v>
      </c>
      <c r="G6" s="49">
        <v>6</v>
      </c>
      <c r="H6" s="340" t="s">
        <v>118</v>
      </c>
      <c r="I6" s="341" t="str">
        <f t="array" ref="I6">INDEX($B$5:$B$57,MATCH($I$5,$A$5:$A$57,0))</f>
        <v>CA</v>
      </c>
    </row>
    <row r="7" spans="1:15" x14ac:dyDescent="0.25">
      <c r="A7" s="49">
        <v>3</v>
      </c>
      <c r="B7" s="50" t="s">
        <v>4</v>
      </c>
      <c r="C7" s="50" t="s">
        <v>64</v>
      </c>
      <c r="D7" s="49">
        <v>3</v>
      </c>
      <c r="E7" s="49">
        <v>2002</v>
      </c>
      <c r="F7" s="49">
        <v>3</v>
      </c>
      <c r="G7" s="49">
        <v>7</v>
      </c>
      <c r="H7" s="342" t="s">
        <v>116</v>
      </c>
      <c r="I7" s="343">
        <f t="array" ref="I7">INDEX($E$5:$E$21,MATCH($K$5,$D$5:$D$30,0))</f>
        <v>2016</v>
      </c>
    </row>
    <row r="8" spans="1:15" x14ac:dyDescent="0.25">
      <c r="A8" s="49">
        <v>4</v>
      </c>
      <c r="B8" s="50" t="s">
        <v>5</v>
      </c>
      <c r="C8" s="50" t="s">
        <v>65</v>
      </c>
      <c r="D8" s="49">
        <v>4</v>
      </c>
      <c r="E8" s="49">
        <v>2003</v>
      </c>
      <c r="F8" s="49">
        <v>4</v>
      </c>
      <c r="G8" s="49">
        <v>8</v>
      </c>
      <c r="H8" s="342" t="s">
        <v>115</v>
      </c>
      <c r="I8" s="343">
        <f t="array" ref="I8">INDEX($G$5:$G$21,MATCH(J5,$F$5:$F$21,0))</f>
        <v>20</v>
      </c>
      <c r="J8" s="49">
        <f>I7-I8</f>
        <v>1996</v>
      </c>
    </row>
    <row r="9" spans="1:15" x14ac:dyDescent="0.25">
      <c r="A9" s="49">
        <v>5</v>
      </c>
      <c r="B9" s="50" t="s">
        <v>6</v>
      </c>
      <c r="C9" s="50" t="s">
        <v>66</v>
      </c>
      <c r="D9" s="49">
        <v>5</v>
      </c>
      <c r="E9" s="49">
        <v>2004</v>
      </c>
      <c r="F9" s="49">
        <v>5</v>
      </c>
      <c r="G9" s="49">
        <v>9</v>
      </c>
      <c r="H9" s="342" t="s">
        <v>125</v>
      </c>
      <c r="I9" s="343" t="s">
        <v>125</v>
      </c>
      <c r="J9" s="49"/>
    </row>
    <row r="10" spans="1:15" x14ac:dyDescent="0.25">
      <c r="A10" s="49">
        <v>6</v>
      </c>
      <c r="B10" s="50" t="s">
        <v>7</v>
      </c>
      <c r="C10" s="50" t="s">
        <v>67</v>
      </c>
      <c r="D10" s="49">
        <v>6</v>
      </c>
      <c r="E10" s="49">
        <v>2005</v>
      </c>
      <c r="F10" s="49">
        <v>6</v>
      </c>
      <c r="G10" s="49">
        <v>10</v>
      </c>
      <c r="H10" s="342" t="s">
        <v>125</v>
      </c>
      <c r="I10" s="372" t="s">
        <v>125</v>
      </c>
    </row>
    <row r="11" spans="1:15" ht="15.75" thickBot="1" x14ac:dyDescent="0.3">
      <c r="A11" s="49">
        <v>7</v>
      </c>
      <c r="B11" s="50" t="s">
        <v>8</v>
      </c>
      <c r="C11" s="50" t="s">
        <v>68</v>
      </c>
      <c r="D11" s="49">
        <v>7</v>
      </c>
      <c r="E11" s="49">
        <v>2006</v>
      </c>
      <c r="F11" s="49">
        <v>7</v>
      </c>
      <c r="G11" s="49">
        <v>11</v>
      </c>
      <c r="H11" s="345" t="s">
        <v>125</v>
      </c>
      <c r="I11" s="346" t="s">
        <v>125</v>
      </c>
    </row>
    <row r="12" spans="1:15" x14ac:dyDescent="0.25">
      <c r="A12" s="49">
        <v>8</v>
      </c>
      <c r="B12" s="50" t="s">
        <v>9</v>
      </c>
      <c r="C12" s="50" t="s">
        <v>69</v>
      </c>
      <c r="D12" s="49">
        <v>8</v>
      </c>
      <c r="E12" s="49">
        <v>2007</v>
      </c>
      <c r="F12" s="49">
        <v>8</v>
      </c>
      <c r="G12" s="49">
        <v>12</v>
      </c>
    </row>
    <row r="13" spans="1:15" x14ac:dyDescent="0.25">
      <c r="A13" s="49">
        <v>9</v>
      </c>
      <c r="B13" s="50" t="s">
        <v>10</v>
      </c>
      <c r="C13" s="50" t="s">
        <v>70</v>
      </c>
      <c r="D13" s="49">
        <v>9</v>
      </c>
      <c r="E13" s="49">
        <v>2008</v>
      </c>
      <c r="F13" s="49">
        <v>9</v>
      </c>
      <c r="G13" s="49">
        <v>13</v>
      </c>
      <c r="H13" s="373" t="s">
        <v>126</v>
      </c>
      <c r="I13" s="350"/>
      <c r="J13" s="352"/>
      <c r="K13" s="352"/>
      <c r="L13" s="352"/>
      <c r="M13" s="352"/>
      <c r="N13" s="374"/>
      <c r="O13" s="352"/>
    </row>
    <row r="14" spans="1:15" x14ac:dyDescent="0.25">
      <c r="A14" s="49">
        <v>10</v>
      </c>
      <c r="B14" s="50" t="s">
        <v>11</v>
      </c>
      <c r="C14" s="50" t="s">
        <v>71</v>
      </c>
      <c r="D14" s="49">
        <v>10</v>
      </c>
      <c r="E14" s="49">
        <v>2009</v>
      </c>
      <c r="F14" s="49">
        <v>10</v>
      </c>
      <c r="G14" s="49">
        <v>14</v>
      </c>
      <c r="H14" s="351"/>
      <c r="I14" s="355"/>
      <c r="J14" s="352"/>
      <c r="K14" s="352"/>
      <c r="L14" s="353"/>
      <c r="M14" s="354"/>
      <c r="N14" s="354"/>
      <c r="O14" s="352"/>
    </row>
    <row r="15" spans="1:15" x14ac:dyDescent="0.25">
      <c r="A15" s="49">
        <v>11</v>
      </c>
      <c r="B15" s="50" t="s">
        <v>12</v>
      </c>
      <c r="C15" s="50" t="s">
        <v>72</v>
      </c>
      <c r="D15" s="49">
        <v>11</v>
      </c>
      <c r="E15" s="49">
        <v>2010</v>
      </c>
      <c r="F15" s="49">
        <v>11</v>
      </c>
      <c r="G15" s="49">
        <v>15</v>
      </c>
      <c r="H15" s="356" t="s">
        <v>119</v>
      </c>
      <c r="I15" s="375">
        <f>SUMIFS('Base Rate Data'!$F$2:$F$1856,'Base Rate Data'!$B$2:$B$1856,"="&amp;'Base Rate Calculation'!$I$6,'Base Rate Data'!$A$2:$A$1856,"&lt;"&amp;'Base Rate Calculation'!$I$7,'Base Rate Data'!$A$2:$A$1856,"&gt;="&amp;'Base Rate Calculation'!$J$8)</f>
        <v>99077929</v>
      </c>
      <c r="J15" s="352"/>
      <c r="K15" s="352"/>
      <c r="L15" s="353"/>
      <c r="M15" s="330"/>
      <c r="N15" s="330"/>
      <c r="O15" s="352"/>
    </row>
    <row r="16" spans="1:15" x14ac:dyDescent="0.25">
      <c r="A16" s="49">
        <v>12</v>
      </c>
      <c r="B16" s="50" t="s">
        <v>13</v>
      </c>
      <c r="C16" s="50" t="s">
        <v>73</v>
      </c>
      <c r="D16" s="49">
        <v>12</v>
      </c>
      <c r="E16" s="49">
        <v>2011</v>
      </c>
      <c r="F16" s="49">
        <v>12</v>
      </c>
      <c r="G16" s="49">
        <v>16</v>
      </c>
      <c r="H16" s="376" t="s">
        <v>263</v>
      </c>
      <c r="I16" s="377">
        <f>SUMIFS('Base Rate Data'!$C$2:$C$1909,'Base Rate Data'!$B$2:$B$1909,"="&amp;'Base Rate Calculation'!$I$6,'Base Rate Data'!$A$2:$A$1909,"&lt;"&amp;'Base Rate Calculation'!$I$7,'Base Rate Data'!$A$2:$A$1909,"&gt;="&amp;'Base Rate Calculation'!$I$7-1)/1000</f>
        <v>804247784</v>
      </c>
      <c r="J16" s="352" t="s">
        <v>262</v>
      </c>
      <c r="L16" s="353"/>
      <c r="M16" s="358"/>
      <c r="N16" s="352"/>
      <c r="O16" s="352"/>
    </row>
    <row r="17" spans="1:15" x14ac:dyDescent="0.25">
      <c r="A17" s="49">
        <v>13</v>
      </c>
      <c r="B17" s="50" t="s">
        <v>14</v>
      </c>
      <c r="C17" s="50" t="s">
        <v>74</v>
      </c>
      <c r="D17" s="49">
        <v>13</v>
      </c>
      <c r="E17" s="49">
        <v>2012</v>
      </c>
      <c r="F17" s="49">
        <v>13</v>
      </c>
      <c r="G17" s="49">
        <v>17</v>
      </c>
      <c r="H17" s="376" t="s">
        <v>261</v>
      </c>
      <c r="I17" s="377">
        <f>SUMIFS('Base Rate Data'!$D$2:$D$1909,'Base Rate Data'!$B$2:$B$1909,"="&amp;'Base Rate Calculation'!$I$6,'Base Rate Data'!$A$2:$A$1909,"&lt;"&amp;'Base Rate Calculation'!$I$7,'Base Rate Data'!$A$2:$A$1909,"&gt;="&amp;'Base Rate Calculation'!$I$7-1)/1000</f>
        <v>120058007</v>
      </c>
      <c r="J17" s="352" t="s">
        <v>262</v>
      </c>
      <c r="L17" s="353"/>
      <c r="M17" s="358"/>
      <c r="N17" s="352"/>
      <c r="O17" s="352"/>
    </row>
    <row r="18" spans="1:15" x14ac:dyDescent="0.25">
      <c r="A18" s="49">
        <v>14</v>
      </c>
      <c r="B18" s="50" t="s">
        <v>15</v>
      </c>
      <c r="C18" s="50" t="s">
        <v>75</v>
      </c>
      <c r="D18" s="49">
        <v>14</v>
      </c>
      <c r="E18" s="49">
        <v>2013</v>
      </c>
      <c r="F18" s="49">
        <v>14</v>
      </c>
      <c r="G18" s="49">
        <v>18</v>
      </c>
      <c r="H18" s="359" t="s">
        <v>258</v>
      </c>
      <c r="I18" s="378">
        <f>(SUMIFS('Base Rate Data'!$G$2:$G$1909,'Base Rate Data'!$B$2:$B$1909,"="&amp;'Base Rate Calculation'!$I$6,'Base Rate Data'!$A$2:$A$1909,"&lt;"&amp;'Base Rate Calculation'!$I$7,'Base Rate Data'!$A$2:$A$1909,"&gt;="&amp;'Base Rate Calculation'!$J$8)/$I$8)*1000</f>
        <v>8.8028313837335698E-3</v>
      </c>
      <c r="J18" s="362"/>
      <c r="K18" s="352"/>
      <c r="L18" s="359"/>
      <c r="M18" s="358"/>
      <c r="N18" s="352"/>
      <c r="O18" s="352"/>
    </row>
    <row r="19" spans="1:15" x14ac:dyDescent="0.25">
      <c r="A19" s="49">
        <v>15</v>
      </c>
      <c r="B19" s="50" t="s">
        <v>16</v>
      </c>
      <c r="C19" s="50" t="s">
        <v>76</v>
      </c>
      <c r="D19" s="49">
        <v>15</v>
      </c>
      <c r="E19" s="49">
        <v>2014</v>
      </c>
      <c r="F19" s="49">
        <v>15</v>
      </c>
      <c r="G19" s="49">
        <v>19</v>
      </c>
      <c r="H19" s="359" t="s">
        <v>259</v>
      </c>
      <c r="I19" s="379">
        <f>ROUND(I18,4)</f>
        <v>8.8000000000000005E-3</v>
      </c>
      <c r="J19" s="352"/>
      <c r="K19" s="352"/>
      <c r="L19" s="364"/>
      <c r="M19" s="354"/>
      <c r="N19" s="354"/>
      <c r="O19" s="352"/>
    </row>
    <row r="20" spans="1:15" x14ac:dyDescent="0.25">
      <c r="A20" s="49">
        <v>16</v>
      </c>
      <c r="B20" s="50" t="s">
        <v>17</v>
      </c>
      <c r="C20" s="50" t="s">
        <v>77</v>
      </c>
      <c r="D20" s="49">
        <v>16</v>
      </c>
      <c r="E20" s="49">
        <v>2015</v>
      </c>
      <c r="F20" s="49">
        <v>16</v>
      </c>
      <c r="G20" s="49">
        <v>20</v>
      </c>
      <c r="H20" s="359" t="s">
        <v>260</v>
      </c>
      <c r="I20" s="378">
        <f>I18/I25</f>
        <v>2.2513635252515523E-2</v>
      </c>
      <c r="J20" s="352"/>
      <c r="K20" s="352"/>
      <c r="L20" s="353"/>
      <c r="M20" s="358"/>
      <c r="N20" s="354"/>
      <c r="O20" s="352"/>
    </row>
    <row r="21" spans="1:15" x14ac:dyDescent="0.25">
      <c r="A21" s="49">
        <v>17</v>
      </c>
      <c r="B21" s="50" t="s">
        <v>18</v>
      </c>
      <c r="C21" s="50" t="s">
        <v>78</v>
      </c>
      <c r="D21" s="49">
        <v>17</v>
      </c>
      <c r="E21" s="49">
        <v>2016</v>
      </c>
      <c r="F21" s="49">
        <v>17</v>
      </c>
      <c r="G21" s="49">
        <v>21</v>
      </c>
      <c r="H21" s="359" t="s">
        <v>259</v>
      </c>
      <c r="I21" s="379">
        <f>ROUND(I20,4)</f>
        <v>2.2499999999999999E-2</v>
      </c>
      <c r="J21" s="352"/>
      <c r="K21" s="352"/>
      <c r="L21" s="353"/>
      <c r="M21" s="354"/>
      <c r="N21" s="354"/>
      <c r="O21" s="352"/>
    </row>
    <row r="22" spans="1:15" x14ac:dyDescent="0.25">
      <c r="A22" s="49">
        <v>18</v>
      </c>
      <c r="B22" s="50" t="s">
        <v>19</v>
      </c>
      <c r="C22" s="50" t="s">
        <v>79</v>
      </c>
      <c r="D22" s="49"/>
      <c r="F22" s="49"/>
      <c r="H22" s="359"/>
      <c r="I22" s="380"/>
      <c r="J22" s="352"/>
      <c r="K22" s="352"/>
      <c r="L22" s="353"/>
      <c r="M22" s="361"/>
      <c r="N22" s="352"/>
      <c r="O22" s="352"/>
    </row>
    <row r="23" spans="1:15" x14ac:dyDescent="0.25">
      <c r="A23" s="49">
        <v>19</v>
      </c>
      <c r="B23" s="50" t="s">
        <v>20</v>
      </c>
      <c r="C23" s="50" t="s">
        <v>80</v>
      </c>
      <c r="D23" s="49"/>
      <c r="F23" s="49"/>
      <c r="H23" s="359" t="s">
        <v>271</v>
      </c>
      <c r="I23" s="50">
        <f>'Step 1 Base Rate Calculator'!M14</f>
        <v>2</v>
      </c>
      <c r="J23" s="352"/>
      <c r="K23" s="352"/>
      <c r="L23" s="352"/>
      <c r="M23" s="352"/>
      <c r="N23" s="352"/>
      <c r="O23" s="352"/>
    </row>
    <row r="24" spans="1:15" x14ac:dyDescent="0.25">
      <c r="A24" s="49">
        <v>20</v>
      </c>
      <c r="B24" s="50" t="s">
        <v>21</v>
      </c>
      <c r="C24" s="50" t="s">
        <v>81</v>
      </c>
      <c r="D24" s="49"/>
      <c r="F24" s="49"/>
      <c r="H24" s="359" t="s">
        <v>272</v>
      </c>
      <c r="I24" s="209">
        <f>'Step 1 Base Rate Calculator'!J15</f>
        <v>0.39100000000000001</v>
      </c>
      <c r="J24" s="352"/>
      <c r="K24" s="352"/>
      <c r="L24" s="353"/>
      <c r="M24" s="361"/>
      <c r="N24" s="352"/>
      <c r="O24" s="352"/>
    </row>
    <row r="25" spans="1:15" x14ac:dyDescent="0.25">
      <c r="A25" s="49">
        <v>21</v>
      </c>
      <c r="B25" s="50" t="s">
        <v>22</v>
      </c>
      <c r="C25" s="50" t="s">
        <v>82</v>
      </c>
      <c r="D25" s="49"/>
      <c r="F25" s="49"/>
      <c r="H25" s="351" t="s">
        <v>251</v>
      </c>
      <c r="I25" s="381">
        <f>IF(I23=1,ROUND(I17/I16,3),IF(I23=2,I24,"ERROR"))</f>
        <v>0.39100000000000001</v>
      </c>
      <c r="J25" s="352"/>
      <c r="K25" s="352"/>
      <c r="L25" s="352"/>
      <c r="M25" s="330"/>
      <c r="N25" s="352"/>
      <c r="O25" s="352"/>
    </row>
    <row r="26" spans="1:15" x14ac:dyDescent="0.25">
      <c r="A26" s="49">
        <v>22</v>
      </c>
      <c r="B26" s="50" t="s">
        <v>23</v>
      </c>
      <c r="C26" s="50" t="s">
        <v>83</v>
      </c>
      <c r="D26" s="49"/>
      <c r="F26" s="49"/>
      <c r="J26" s="352"/>
      <c r="K26" s="352"/>
      <c r="L26" s="352"/>
      <c r="M26" s="352"/>
      <c r="N26" s="352"/>
      <c r="O26" s="352"/>
    </row>
    <row r="27" spans="1:15" x14ac:dyDescent="0.25">
      <c r="A27" s="49">
        <v>23</v>
      </c>
      <c r="B27" s="50" t="s">
        <v>24</v>
      </c>
      <c r="C27" s="50" t="s">
        <v>84</v>
      </c>
      <c r="D27" s="49"/>
      <c r="F27" s="49"/>
      <c r="H27" s="351" t="s">
        <v>61</v>
      </c>
      <c r="I27" s="382">
        <f t="array" ref="I27">INDEX('Base Rate Data'!$M$2:$M$1909,MATCH('Base Rate Calculation'!$I$6&amp;('Base Rate Calculation'!$I$7-1),'Base Rate Data'!$B$2:$B$1909&amp;'Base Rate Data'!$A$2:$A$1909,0))</f>
        <v>1.5</v>
      </c>
    </row>
    <row r="28" spans="1:15" x14ac:dyDescent="0.25">
      <c r="A28" s="49">
        <v>24</v>
      </c>
      <c r="B28" s="50" t="s">
        <v>25</v>
      </c>
      <c r="C28" s="50" t="s">
        <v>85</v>
      </c>
      <c r="D28" s="49"/>
      <c r="F28" s="49"/>
      <c r="H28" s="366" t="s">
        <v>176</v>
      </c>
      <c r="I28" s="51">
        <f>+I27/100</f>
        <v>1.4999999999999999E-2</v>
      </c>
    </row>
    <row r="29" spans="1:15" x14ac:dyDescent="0.25">
      <c r="A29" s="49">
        <v>25</v>
      </c>
      <c r="B29" s="50" t="s">
        <v>26</v>
      </c>
      <c r="C29" s="50" t="s">
        <v>86</v>
      </c>
      <c r="D29" s="49"/>
      <c r="F29" s="49"/>
    </row>
    <row r="30" spans="1:15" x14ac:dyDescent="0.25">
      <c r="A30" s="49">
        <v>26</v>
      </c>
      <c r="B30" s="50" t="s">
        <v>27</v>
      </c>
      <c r="C30" s="50" t="s">
        <v>87</v>
      </c>
      <c r="D30" s="49"/>
      <c r="F30" s="49"/>
      <c r="H30" s="369"/>
      <c r="I30" s="49"/>
      <c r="J30" s="369"/>
    </row>
    <row r="31" spans="1:15" x14ac:dyDescent="0.25">
      <c r="A31" s="49">
        <v>27</v>
      </c>
      <c r="B31" s="50" t="s">
        <v>28</v>
      </c>
      <c r="C31" s="50" t="s">
        <v>88</v>
      </c>
      <c r="H31" s="221"/>
      <c r="J31" s="369"/>
    </row>
    <row r="32" spans="1:15" x14ac:dyDescent="0.25">
      <c r="A32" s="49">
        <v>28</v>
      </c>
      <c r="B32" s="50" t="s">
        <v>29</v>
      </c>
      <c r="C32" s="50" t="s">
        <v>89</v>
      </c>
      <c r="H32" s="221"/>
      <c r="J32" s="369"/>
    </row>
    <row r="33" spans="1:10" x14ac:dyDescent="0.25">
      <c r="A33" s="49">
        <v>29</v>
      </c>
      <c r="B33" s="50" t="s">
        <v>30</v>
      </c>
      <c r="C33" s="50" t="s">
        <v>90</v>
      </c>
      <c r="H33" s="369"/>
    </row>
    <row r="34" spans="1:10" x14ac:dyDescent="0.25">
      <c r="A34" s="49">
        <v>30</v>
      </c>
      <c r="B34" s="50" t="s">
        <v>31</v>
      </c>
      <c r="C34" s="50" t="s">
        <v>91</v>
      </c>
      <c r="G34" s="369"/>
      <c r="H34" s="369"/>
      <c r="J34" s="369"/>
    </row>
    <row r="35" spans="1:10" x14ac:dyDescent="0.25">
      <c r="A35" s="49">
        <v>31</v>
      </c>
      <c r="B35" s="50" t="s">
        <v>32</v>
      </c>
      <c r="C35" s="50" t="s">
        <v>92</v>
      </c>
      <c r="H35" s="369"/>
      <c r="I35" s="369"/>
      <c r="J35" s="369"/>
    </row>
    <row r="36" spans="1:10" x14ac:dyDescent="0.25">
      <c r="A36" s="49">
        <v>32</v>
      </c>
      <c r="B36" s="50" t="s">
        <v>33</v>
      </c>
      <c r="C36" s="50" t="s">
        <v>93</v>
      </c>
    </row>
    <row r="37" spans="1:10" x14ac:dyDescent="0.25">
      <c r="A37" s="49">
        <v>33</v>
      </c>
      <c r="B37" s="50" t="s">
        <v>34</v>
      </c>
      <c r="C37" s="50" t="s">
        <v>94</v>
      </c>
    </row>
    <row r="38" spans="1:10" x14ac:dyDescent="0.25">
      <c r="A38" s="49">
        <v>34</v>
      </c>
      <c r="B38" s="50" t="s">
        <v>35</v>
      </c>
      <c r="C38" s="50" t="s">
        <v>95</v>
      </c>
    </row>
    <row r="39" spans="1:10" x14ac:dyDescent="0.25">
      <c r="A39" s="49">
        <v>35</v>
      </c>
      <c r="B39" s="50" t="s">
        <v>36</v>
      </c>
      <c r="C39" s="50" t="s">
        <v>96</v>
      </c>
    </row>
    <row r="40" spans="1:10" x14ac:dyDescent="0.25">
      <c r="A40" s="49">
        <v>36</v>
      </c>
      <c r="B40" s="50" t="s">
        <v>37</v>
      </c>
      <c r="C40" s="50" t="s">
        <v>97</v>
      </c>
    </row>
    <row r="41" spans="1:10" x14ac:dyDescent="0.25">
      <c r="A41" s="49">
        <v>37</v>
      </c>
      <c r="B41" s="50" t="s">
        <v>38</v>
      </c>
      <c r="C41" s="50" t="s">
        <v>98</v>
      </c>
    </row>
    <row r="42" spans="1:10" x14ac:dyDescent="0.25">
      <c r="A42" s="49">
        <v>38</v>
      </c>
      <c r="B42" s="50" t="s">
        <v>39</v>
      </c>
      <c r="C42" s="50" t="s">
        <v>99</v>
      </c>
    </row>
    <row r="43" spans="1:10" x14ac:dyDescent="0.25">
      <c r="A43" s="49">
        <v>39</v>
      </c>
      <c r="B43" s="50" t="s">
        <v>40</v>
      </c>
      <c r="C43" s="50" t="s">
        <v>100</v>
      </c>
    </row>
    <row r="44" spans="1:10" x14ac:dyDescent="0.25">
      <c r="A44" s="49">
        <v>40</v>
      </c>
      <c r="B44" s="50" t="s">
        <v>41</v>
      </c>
      <c r="C44" s="50" t="s">
        <v>101</v>
      </c>
    </row>
    <row r="45" spans="1:10" x14ac:dyDescent="0.25">
      <c r="A45" s="49">
        <v>41</v>
      </c>
      <c r="B45" s="50" t="s">
        <v>42</v>
      </c>
      <c r="C45" s="50" t="s">
        <v>102</v>
      </c>
    </row>
    <row r="46" spans="1:10" x14ac:dyDescent="0.25">
      <c r="A46" s="49">
        <v>42</v>
      </c>
      <c r="B46" s="50" t="s">
        <v>43</v>
      </c>
      <c r="C46" s="50" t="s">
        <v>103</v>
      </c>
    </row>
    <row r="47" spans="1:10" x14ac:dyDescent="0.25">
      <c r="A47" s="49">
        <v>43</v>
      </c>
      <c r="B47" s="50" t="s">
        <v>44</v>
      </c>
      <c r="C47" s="50" t="s">
        <v>104</v>
      </c>
    </row>
    <row r="48" spans="1:10" x14ac:dyDescent="0.25">
      <c r="A48" s="49">
        <v>44</v>
      </c>
      <c r="B48" s="50" t="s">
        <v>45</v>
      </c>
      <c r="C48" s="50" t="s">
        <v>105</v>
      </c>
    </row>
    <row r="49" spans="1:3" x14ac:dyDescent="0.25">
      <c r="A49" s="49">
        <v>45</v>
      </c>
      <c r="B49" s="50" t="s">
        <v>46</v>
      </c>
      <c r="C49" s="50" t="s">
        <v>106</v>
      </c>
    </row>
    <row r="50" spans="1:3" x14ac:dyDescent="0.25">
      <c r="A50" s="49">
        <v>46</v>
      </c>
      <c r="B50" s="50" t="s">
        <v>47</v>
      </c>
      <c r="C50" s="50" t="s">
        <v>107</v>
      </c>
    </row>
    <row r="51" spans="1:3" x14ac:dyDescent="0.25">
      <c r="A51" s="49">
        <v>47</v>
      </c>
      <c r="B51" s="50" t="s">
        <v>48</v>
      </c>
      <c r="C51" s="50" t="s">
        <v>108</v>
      </c>
    </row>
    <row r="52" spans="1:3" x14ac:dyDescent="0.25">
      <c r="A52" s="49">
        <v>48</v>
      </c>
      <c r="B52" s="50" t="s">
        <v>49</v>
      </c>
      <c r="C52" s="50" t="s">
        <v>109</v>
      </c>
    </row>
    <row r="53" spans="1:3" x14ac:dyDescent="0.25">
      <c r="A53" s="49">
        <v>49</v>
      </c>
      <c r="B53" s="50" t="s">
        <v>50</v>
      </c>
      <c r="C53" s="50" t="s">
        <v>110</v>
      </c>
    </row>
    <row r="54" spans="1:3" x14ac:dyDescent="0.25">
      <c r="A54" s="49">
        <v>50</v>
      </c>
      <c r="B54" s="50" t="s">
        <v>51</v>
      </c>
      <c r="C54" s="50" t="s">
        <v>111</v>
      </c>
    </row>
    <row r="55" spans="1:3" x14ac:dyDescent="0.25">
      <c r="A55" s="49">
        <v>51</v>
      </c>
      <c r="B55" s="50" t="s">
        <v>52</v>
      </c>
      <c r="C55" s="50" t="s">
        <v>112</v>
      </c>
    </row>
    <row r="56" spans="1:3" x14ac:dyDescent="0.25">
      <c r="A56" s="49">
        <v>52</v>
      </c>
      <c r="B56" s="50" t="s">
        <v>53</v>
      </c>
      <c r="C56" s="50" t="s">
        <v>113</v>
      </c>
    </row>
    <row r="57" spans="1:3" x14ac:dyDescent="0.25">
      <c r="A57" s="49">
        <v>53</v>
      </c>
      <c r="B57" s="50" t="s">
        <v>54</v>
      </c>
      <c r="C57" s="50" t="s">
        <v>114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Directions</vt:lpstr>
      <vt:lpstr>Step 1 Base Rate Calculator</vt:lpstr>
      <vt:lpstr>Step 2-3 Avg Rate and Trig Calc</vt:lpstr>
      <vt:lpstr>Step 4 Calc Employer Tax Rates</vt:lpstr>
      <vt:lpstr>Tax System Simulation</vt:lpstr>
      <vt:lpstr>AFR Calculator</vt:lpstr>
      <vt:lpstr>AFR DATA</vt:lpstr>
      <vt:lpstr>AFR Calculation</vt:lpstr>
      <vt:lpstr>Base Rate Data</vt:lpstr>
      <vt:lpstr>Base Rate Calculation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Y</dc:creator>
  <cp:lastModifiedBy>Mike Miller</cp:lastModifiedBy>
  <dcterms:created xsi:type="dcterms:W3CDTF">2015-08-31T15:25:28Z</dcterms:created>
  <dcterms:modified xsi:type="dcterms:W3CDTF">2017-07-05T19:21:48Z</dcterms:modified>
</cp:coreProperties>
</file>