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FAS\ACTS\BFM\SEMINARS\BFS2018\PROBLEMS\EXCEL EXERCISES\"/>
    </mc:Choice>
  </mc:AlternateContent>
  <bookViews>
    <workbookView xWindow="2115" yWindow="405" windowWidth="17955" windowHeight="10260"/>
  </bookViews>
  <sheets>
    <sheet name="COMPUTE" sheetId="8" r:id="rId1"/>
    <sheet name="SETTINGS" sheetId="7" r:id="rId2"/>
    <sheet name="FIRST PAYMENTS" sheetId="2" r:id="rId3"/>
    <sheet name="POTENTIAL DURATION" sheetId="3" r:id="rId4"/>
    <sheet name="AVERAGE DURATION" sheetId="4" r:id="rId5"/>
    <sheet name="WBA" sheetId="5" r:id="rId6"/>
    <sheet name="BENEFITS" sheetId="6" r:id="rId7"/>
    <sheet name="SUMMARY" sheetId="1" r:id="rId8"/>
  </sheets>
  <calcPr calcId="162913"/>
</workbook>
</file>

<file path=xl/calcChain.xml><?xml version="1.0" encoding="utf-8"?>
<calcChain xmlns="http://schemas.openxmlformats.org/spreadsheetml/2006/main">
  <c r="D23" i="1" l="1"/>
  <c r="D22" i="1"/>
  <c r="D21" i="1"/>
  <c r="D20" i="1"/>
  <c r="D19" i="1"/>
  <c r="C23" i="1"/>
  <c r="C22" i="1"/>
  <c r="C21" i="1"/>
  <c r="C20" i="1"/>
  <c r="C19" i="1"/>
  <c r="C14" i="4"/>
  <c r="B2" i="4"/>
  <c r="E10" i="8"/>
  <c r="D10" i="8"/>
  <c r="C10" i="8"/>
  <c r="B10" i="8"/>
  <c r="B24" i="8" s="1"/>
  <c r="B37" i="8" s="1"/>
  <c r="B53" i="8" s="1"/>
  <c r="E9" i="8"/>
  <c r="D9" i="8"/>
  <c r="C9" i="8"/>
  <c r="B9" i="8"/>
  <c r="B23" i="8" s="1"/>
  <c r="B36" i="8" s="1"/>
  <c r="B52" i="8" s="1"/>
  <c r="E8" i="8"/>
  <c r="D8" i="8"/>
  <c r="C8" i="8"/>
  <c r="B8" i="8"/>
  <c r="B22" i="8" s="1"/>
  <c r="B35" i="8" s="1"/>
  <c r="B51" i="8" s="1"/>
  <c r="E7" i="8"/>
  <c r="D7" i="8"/>
  <c r="C7" i="8"/>
  <c r="B7" i="8"/>
  <c r="B21" i="8" s="1"/>
  <c r="B34" i="8" s="1"/>
  <c r="B50" i="8" s="1"/>
  <c r="E6" i="8"/>
  <c r="D6" i="8"/>
  <c r="C6" i="8"/>
  <c r="B6" i="8"/>
  <c r="B20" i="8" s="1"/>
  <c r="B33" i="8" s="1"/>
  <c r="B49" i="8" s="1"/>
  <c r="E5" i="8"/>
  <c r="E19" i="8" s="1"/>
  <c r="E32" i="8" s="1"/>
  <c r="E48" i="8" s="1"/>
  <c r="D5" i="8"/>
  <c r="C5" i="8"/>
  <c r="B5" i="8"/>
  <c r="G24" i="8" s="1"/>
  <c r="C4" i="8"/>
  <c r="C60" i="8" l="1"/>
  <c r="D13" i="8"/>
  <c r="E13" i="8"/>
  <c r="C13" i="8"/>
  <c r="G37" i="8"/>
  <c r="G53" i="8" s="1"/>
  <c r="C19" i="8"/>
  <c r="C32" i="8" s="1"/>
  <c r="C48" i="8" s="1"/>
  <c r="B19" i="8"/>
  <c r="B32" i="8" s="1"/>
  <c r="B48" i="8" s="1"/>
  <c r="C18" i="8"/>
  <c r="C31" i="8" s="1"/>
  <c r="C47" i="8" s="1"/>
  <c r="D19" i="8"/>
  <c r="D32" i="8" s="1"/>
  <c r="D48" i="8" s="1"/>
  <c r="G21" i="8"/>
  <c r="G22" i="8"/>
  <c r="E26" i="8"/>
  <c r="E39" i="8" s="1"/>
  <c r="E55" i="8" s="1"/>
  <c r="G23" i="8"/>
  <c r="G20" i="8"/>
  <c r="B4" i="2"/>
  <c r="C3" i="2"/>
  <c r="C18" i="2"/>
  <c r="C17" i="2"/>
  <c r="D26" i="8" l="1"/>
  <c r="D39" i="8" s="1"/>
  <c r="D55" i="8" s="1"/>
  <c r="C26" i="8"/>
  <c r="C39" i="8" s="1"/>
  <c r="C55" i="8" s="1"/>
  <c r="G34" i="8"/>
  <c r="G50" i="8" s="1"/>
  <c r="G33" i="8"/>
  <c r="G49" i="8" s="1"/>
  <c r="G36" i="8"/>
  <c r="G52" i="8" s="1"/>
  <c r="G35" i="8"/>
  <c r="G51" i="8" s="1"/>
  <c r="D4" i="2"/>
  <c r="C61" i="8" l="1"/>
  <c r="C63" i="8" s="1"/>
  <c r="D9" i="6"/>
  <c r="C9" i="6"/>
  <c r="B9" i="6"/>
  <c r="D8" i="6"/>
  <c r="C8" i="6"/>
  <c r="B8" i="6"/>
  <c r="C7" i="6"/>
  <c r="B7" i="6"/>
  <c r="C6" i="6"/>
  <c r="B6" i="6"/>
  <c r="E5" i="6"/>
  <c r="B5" i="6"/>
  <c r="E4" i="6"/>
  <c r="D4" i="6"/>
  <c r="C4" i="6"/>
  <c r="B2" i="6"/>
  <c r="D9" i="5"/>
  <c r="C9" i="5"/>
  <c r="B9" i="5"/>
  <c r="D8" i="5"/>
  <c r="C8" i="5"/>
  <c r="B8" i="5"/>
  <c r="C7" i="5"/>
  <c r="B7" i="5"/>
  <c r="C6" i="5"/>
  <c r="B6" i="5"/>
  <c r="E5" i="5"/>
  <c r="B5" i="5"/>
  <c r="E4" i="5"/>
  <c r="D4" i="5"/>
  <c r="C4" i="5"/>
  <c r="B2" i="5"/>
  <c r="D9" i="4"/>
  <c r="C9" i="4"/>
  <c r="B9" i="4"/>
  <c r="D8" i="4"/>
  <c r="C8" i="4"/>
  <c r="B8" i="4"/>
  <c r="C7" i="4"/>
  <c r="B7" i="4"/>
  <c r="C6" i="4"/>
  <c r="B6" i="4"/>
  <c r="E5" i="4"/>
  <c r="B5" i="4"/>
  <c r="E4" i="4"/>
  <c r="D4" i="4"/>
  <c r="C4" i="4"/>
  <c r="D9" i="3"/>
  <c r="C9" i="3"/>
  <c r="B9" i="3"/>
  <c r="D8" i="3"/>
  <c r="C8" i="3"/>
  <c r="B8" i="3"/>
  <c r="C7" i="3"/>
  <c r="B7" i="3"/>
  <c r="C6" i="3"/>
  <c r="B6" i="3"/>
  <c r="E5" i="3"/>
  <c r="B5" i="3"/>
  <c r="E4" i="3"/>
  <c r="D4" i="3"/>
  <c r="C4" i="3"/>
  <c r="B2" i="3"/>
  <c r="C14" i="2"/>
  <c r="D11" i="2" s="1"/>
  <c r="E9" i="2"/>
  <c r="D9" i="2"/>
  <c r="C9" i="2"/>
  <c r="B9" i="2"/>
  <c r="G9" i="2" s="1"/>
  <c r="E8" i="2"/>
  <c r="D8" i="2"/>
  <c r="C8" i="2"/>
  <c r="B8" i="2"/>
  <c r="G8" i="2" s="1"/>
  <c r="E7" i="2"/>
  <c r="D7" i="2"/>
  <c r="C7" i="2"/>
  <c r="B7" i="2"/>
  <c r="G7" i="2" s="1"/>
  <c r="E6" i="2"/>
  <c r="D6" i="2"/>
  <c r="C6" i="2"/>
  <c r="B6" i="2"/>
  <c r="G6" i="2" s="1"/>
  <c r="E5" i="2"/>
  <c r="D5" i="2"/>
  <c r="C5" i="2"/>
  <c r="B5" i="2"/>
  <c r="G5" i="2" s="1"/>
  <c r="E4" i="2"/>
  <c r="C4" i="2"/>
  <c r="B2" i="2"/>
  <c r="E23" i="1"/>
  <c r="E22" i="1"/>
  <c r="E21" i="1"/>
  <c r="E20" i="1"/>
  <c r="E19" i="1"/>
  <c r="C59" i="8" l="1"/>
  <c r="C62" i="8" s="1"/>
  <c r="C11" i="2"/>
  <c r="C11" i="6" s="1"/>
  <c r="E11" i="2"/>
  <c r="E11" i="5" s="1"/>
  <c r="C5" i="1"/>
  <c r="G5" i="6"/>
  <c r="G5" i="5"/>
  <c r="G5" i="4"/>
  <c r="G5" i="3"/>
  <c r="G6" i="5"/>
  <c r="G6" i="4"/>
  <c r="G6" i="6"/>
  <c r="G6" i="3"/>
  <c r="G7" i="6"/>
  <c r="G7" i="5"/>
  <c r="G7" i="4"/>
  <c r="G7" i="3"/>
  <c r="G8" i="6"/>
  <c r="G8" i="5"/>
  <c r="G8" i="4"/>
  <c r="G8" i="3"/>
  <c r="G9" i="6"/>
  <c r="G9" i="5"/>
  <c r="G9" i="4"/>
  <c r="G9" i="3"/>
  <c r="D11" i="6"/>
  <c r="D11" i="5"/>
  <c r="D11" i="4"/>
  <c r="D11" i="3"/>
  <c r="D12" i="2"/>
  <c r="C12" i="2" l="1"/>
  <c r="C11" i="4"/>
  <c r="C11" i="5"/>
  <c r="C5" i="5" s="1"/>
  <c r="C11" i="3"/>
  <c r="C5" i="3" s="1"/>
  <c r="C5" i="4" s="1"/>
  <c r="E12" i="2"/>
  <c r="E11" i="6"/>
  <c r="E11" i="3"/>
  <c r="E9" i="3" s="1"/>
  <c r="E9" i="4" s="1"/>
  <c r="E11" i="4"/>
  <c r="D7" i="3"/>
  <c r="D7" i="4" s="1"/>
  <c r="D6" i="3"/>
  <c r="D6" i="4" s="1"/>
  <c r="D5" i="3"/>
  <c r="D5" i="4" s="1"/>
  <c r="D6" i="5"/>
  <c r="D5" i="5"/>
  <c r="D7" i="5"/>
  <c r="E9" i="5"/>
  <c r="E8" i="5"/>
  <c r="E7" i="5"/>
  <c r="E6" i="5"/>
  <c r="E7" i="3" l="1"/>
  <c r="E7" i="4" s="1"/>
  <c r="E6" i="3"/>
  <c r="E6" i="4" s="1"/>
  <c r="E6" i="6" s="1"/>
  <c r="E8" i="3"/>
  <c r="E8" i="4" s="1"/>
  <c r="E8" i="6" s="1"/>
  <c r="E9" i="6"/>
  <c r="D5" i="6"/>
  <c r="E7" i="6"/>
  <c r="D7" i="6"/>
  <c r="C5" i="6"/>
  <c r="D6" i="6"/>
  <c r="C6" i="1" l="1"/>
  <c r="C8" i="1" s="1"/>
  <c r="B16" i="6"/>
  <c r="C4" i="1"/>
  <c r="C7" i="1" l="1"/>
</calcChain>
</file>

<file path=xl/sharedStrings.xml><?xml version="1.0" encoding="utf-8"?>
<sst xmlns="http://schemas.openxmlformats.org/spreadsheetml/2006/main" count="108" uniqueCount="57">
  <si>
    <t>Legislative Settings</t>
  </si>
  <si>
    <t>Summary</t>
  </si>
  <si>
    <t>Interactive Settings</t>
  </si>
  <si>
    <t>Maximum WBA</t>
  </si>
  <si>
    <t>Benefits Paid</t>
  </si>
  <si>
    <t>($millions)</t>
  </si>
  <si>
    <t>Maximum Duration</t>
  </si>
  <si>
    <t>Weeks</t>
  </si>
  <si>
    <t>First Payments</t>
  </si>
  <si>
    <t>(000)</t>
  </si>
  <si>
    <t>Weeks Compensated</t>
  </si>
  <si>
    <t>AWBA</t>
  </si>
  <si>
    <t>Qualifying Wages</t>
  </si>
  <si>
    <t>Average Duration</t>
  </si>
  <si>
    <t>WBA</t>
  </si>
  <si>
    <t>Monetary Entitlement</t>
  </si>
  <si>
    <t>Run Aged Distribution? (1=yes, 0=no)</t>
  </si>
  <si>
    <t>Number of Years Out</t>
  </si>
  <si>
    <t>Current (Base Year) First Payment Distribution</t>
  </si>
  <si>
    <t>High Quarter Wages</t>
  </si>
  <si>
    <t>Comparison Table</t>
  </si>
  <si>
    <t>Base Period Wages</t>
  </si>
  <si>
    <t>Current Law</t>
  </si>
  <si>
    <t>Proposed Law</t>
  </si>
  <si>
    <t>% Change</t>
  </si>
  <si>
    <t>Total</t>
  </si>
  <si>
    <t>Entitlement</t>
  </si>
  <si>
    <t>Inflated Maximum WBA:</t>
  </si>
  <si>
    <t>Method For WBA Calc from Settings:</t>
  </si>
  <si>
    <t>Method for Monetary Entitlement:</t>
  </si>
  <si>
    <t>Total Benefit Cost</t>
  </si>
  <si>
    <t xml:space="preserve">Actual Duration = </t>
  </si>
  <si>
    <r>
      <t>(1 - r</t>
    </r>
    <r>
      <rPr>
        <b/>
        <vertAlign val="superscript"/>
        <sz val="14"/>
        <color theme="1"/>
        <rFont val="Calibri"/>
        <family val="2"/>
        <scheme val="minor"/>
      </rPr>
      <t>N</t>
    </r>
    <r>
      <rPr>
        <b/>
        <sz val="14"/>
        <color theme="1"/>
        <rFont val="Calibri"/>
        <family val="2"/>
        <scheme val="minor"/>
      </rPr>
      <t>) / (1 - r)</t>
    </r>
  </si>
  <si>
    <t>Assumed Survival Rate (r):</t>
  </si>
  <si>
    <t>Assumed Annual First Payment Growth Rate:</t>
  </si>
  <si>
    <t>Assumed Annual Inflation/Wage Growth Rate:</t>
  </si>
  <si>
    <t>Additional Settings</t>
  </si>
  <si>
    <t>1/3</t>
  </si>
  <si>
    <t>HQW</t>
  </si>
  <si>
    <t>BPW</t>
  </si>
  <si>
    <t>1/26</t>
  </si>
  <si>
    <t xml:space="preserve">   Potential Duration</t>
  </si>
  <si>
    <t>Maximum WBA:</t>
  </si>
  <si>
    <t>Assumed Survival Rate</t>
  </si>
  <si>
    <t xml:space="preserve">    Average Duration</t>
  </si>
  <si>
    <t>Summary Table</t>
  </si>
  <si>
    <t>Hand Calculation for Legislative Cost Estimation Exercise - 2018 Benefit Financing Seminar</t>
  </si>
  <si>
    <t>r = Survival Rate</t>
  </si>
  <si>
    <t>N = Potential Duration</t>
  </si>
  <si>
    <t>*reminder:</t>
  </si>
  <si>
    <t xml:space="preserve">    Total Benefits</t>
  </si>
  <si>
    <t>Assumed Survival Rate:</t>
  </si>
  <si>
    <t>Table 1</t>
  </si>
  <si>
    <t>Table 2</t>
  </si>
  <si>
    <t>Table 3</t>
  </si>
  <si>
    <t>Table 4</t>
  </si>
  <si>
    <t xml:space="preserve">    First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</si>
</sst>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  <numFmt numFmtId="166" formatCode="0.0"/>
    <numFmt numFmtId="167" formatCode="_(* #,##0_);_(* \(#,##0\);_(* &quot;-&quot;??_);_(@_)"/>
    <numFmt numFmtId="168" formatCode="0.0%"/>
    <numFmt numFmtId="169" formatCode="0.000"/>
    <numFmt numFmtId="172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8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6" fillId="0" borderId="4" xfId="0" applyFont="1" applyBorder="1"/>
    <xf numFmtId="164" fontId="7" fillId="2" borderId="6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0" xfId="0" applyFont="1"/>
    <xf numFmtId="0" fontId="7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9" fontId="3" fillId="2" borderId="6" xfId="0" quotePrefix="1" applyNumberFormat="1" applyFont="1" applyFill="1" applyBorder="1" applyAlignment="1">
      <alignment horizontal="center"/>
    </xf>
    <xf numFmtId="0" fontId="6" fillId="0" borderId="4" xfId="0" applyFont="1" applyFill="1" applyBorder="1"/>
    <xf numFmtId="0" fontId="6" fillId="0" borderId="7" xfId="0" applyFont="1" applyFill="1" applyBorder="1"/>
    <xf numFmtId="0" fontId="0" fillId="0" borderId="9" xfId="0" applyBorder="1"/>
    <xf numFmtId="0" fontId="8" fillId="3" borderId="1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9" fillId="3" borderId="16" xfId="0" applyFont="1" applyFill="1" applyBorder="1"/>
    <xf numFmtId="6" fontId="4" fillId="3" borderId="6" xfId="0" applyNumberFormat="1" applyFont="1" applyFill="1" applyBorder="1" applyAlignment="1">
      <alignment horizontal="center"/>
    </xf>
    <xf numFmtId="6" fontId="4" fillId="3" borderId="17" xfId="0" applyNumberFormat="1" applyFont="1" applyFill="1" applyBorder="1" applyAlignment="1">
      <alignment horizontal="center"/>
    </xf>
    <xf numFmtId="6" fontId="4" fillId="3" borderId="16" xfId="0" applyNumberFormat="1" applyFont="1" applyFill="1" applyBorder="1" applyAlignment="1">
      <alignment horizontal="center"/>
    </xf>
    <xf numFmtId="167" fontId="7" fillId="2" borderId="6" xfId="1" applyNumberFormat="1" applyFont="1" applyFill="1" applyBorder="1" applyAlignment="1">
      <alignment horizontal="center"/>
    </xf>
    <xf numFmtId="167" fontId="7" fillId="2" borderId="17" xfId="1" quotePrefix="1" applyNumberFormat="1" applyFont="1" applyFill="1" applyBorder="1" applyAlignment="1">
      <alignment horizontal="center"/>
    </xf>
    <xf numFmtId="167" fontId="7" fillId="2" borderId="6" xfId="1" quotePrefix="1" applyNumberFormat="1" applyFont="1" applyFill="1" applyBorder="1" applyAlignment="1">
      <alignment horizontal="center"/>
    </xf>
    <xf numFmtId="167" fontId="7" fillId="2" borderId="17" xfId="1" applyNumberFormat="1" applyFont="1" applyFill="1" applyBorder="1" applyAlignment="1">
      <alignment horizontal="center"/>
    </xf>
    <xf numFmtId="6" fontId="4" fillId="3" borderId="24" xfId="0" applyNumberFormat="1" applyFont="1" applyFill="1" applyBorder="1" applyAlignment="1">
      <alignment horizontal="center"/>
    </xf>
    <xf numFmtId="167" fontId="7" fillId="2" borderId="8" xfId="1" quotePrefix="1" applyNumberFormat="1" applyFont="1" applyFill="1" applyBorder="1" applyAlignment="1">
      <alignment horizontal="center"/>
    </xf>
    <xf numFmtId="167" fontId="7" fillId="2" borderId="25" xfId="1" applyNumberFormat="1" applyFont="1" applyFill="1" applyBorder="1" applyAlignment="1">
      <alignment horizontal="center"/>
    </xf>
    <xf numFmtId="0" fontId="0" fillId="3" borderId="0" xfId="0" applyFill="1"/>
    <xf numFmtId="0" fontId="9" fillId="3" borderId="29" xfId="0" applyFont="1" applyFill="1" applyBorder="1" applyAlignment="1">
      <alignment horizontal="center"/>
    </xf>
    <xf numFmtId="6" fontId="4" fillId="3" borderId="30" xfId="0" applyNumberFormat="1" applyFont="1" applyFill="1" applyBorder="1" applyAlignment="1">
      <alignment horizontal="center"/>
    </xf>
    <xf numFmtId="0" fontId="9" fillId="3" borderId="31" xfId="0" applyFont="1" applyFill="1" applyBorder="1" applyAlignment="1">
      <alignment horizontal="center"/>
    </xf>
    <xf numFmtId="1" fontId="10" fillId="0" borderId="6" xfId="1" applyNumberFormat="1" applyFont="1" applyFill="1" applyBorder="1" applyAlignment="1">
      <alignment horizontal="center"/>
    </xf>
    <xf numFmtId="6" fontId="4" fillId="2" borderId="32" xfId="0" applyNumberFormat="1" applyFont="1" applyFill="1" applyBorder="1" applyAlignment="1">
      <alignment horizontal="center"/>
    </xf>
    <xf numFmtId="0" fontId="9" fillId="3" borderId="33" xfId="0" applyFont="1" applyFill="1" applyBorder="1" applyAlignment="1">
      <alignment horizontal="center"/>
    </xf>
    <xf numFmtId="164" fontId="4" fillId="2" borderId="34" xfId="1" applyNumberFormat="1" applyFont="1" applyFill="1" applyBorder="1" applyAlignment="1">
      <alignment horizontal="center"/>
    </xf>
    <xf numFmtId="2" fontId="11" fillId="3" borderId="0" xfId="0" applyNumberFormat="1" applyFont="1" applyFill="1"/>
    <xf numFmtId="6" fontId="4" fillId="0" borderId="34" xfId="0" applyNumberFormat="1" applyFont="1" applyFill="1" applyBorder="1" applyAlignment="1">
      <alignment horizontal="center"/>
    </xf>
    <xf numFmtId="0" fontId="0" fillId="3" borderId="13" xfId="0" applyFill="1" applyBorder="1"/>
    <xf numFmtId="166" fontId="10" fillId="0" borderId="6" xfId="1" applyNumberFormat="1" applyFont="1" applyFill="1" applyBorder="1" applyAlignment="1">
      <alignment horizontal="center"/>
    </xf>
    <xf numFmtId="6" fontId="4" fillId="0" borderId="32" xfId="0" applyNumberFormat="1" applyFont="1" applyFill="1" applyBorder="1" applyAlignment="1">
      <alignment horizontal="center"/>
    </xf>
    <xf numFmtId="49" fontId="0" fillId="3" borderId="0" xfId="0" applyNumberFormat="1" applyFill="1"/>
    <xf numFmtId="164" fontId="10" fillId="0" borderId="6" xfId="1" applyNumberFormat="1" applyFont="1" applyFill="1" applyBorder="1" applyAlignment="1">
      <alignment horizontal="center"/>
    </xf>
    <xf numFmtId="169" fontId="7" fillId="2" borderId="34" xfId="0" applyNumberFormat="1" applyFont="1" applyFill="1" applyBorder="1" applyAlignment="1">
      <alignment horizontal="center"/>
    </xf>
    <xf numFmtId="0" fontId="12" fillId="0" borderId="0" xfId="0" applyFont="1" applyAlignment="1">
      <alignment horizontal="right"/>
    </xf>
    <xf numFmtId="0" fontId="3" fillId="0" borderId="0" xfId="0" applyFont="1"/>
    <xf numFmtId="164" fontId="5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6" fontId="4" fillId="3" borderId="21" xfId="0" applyNumberFormat="1" applyFont="1" applyFill="1" applyBorder="1" applyAlignment="1">
      <alignment horizontal="center"/>
    </xf>
    <xf numFmtId="6" fontId="4" fillId="3" borderId="26" xfId="0" applyNumberFormat="1" applyFont="1" applyFill="1" applyBorder="1" applyAlignment="1">
      <alignment horizontal="center"/>
    </xf>
    <xf numFmtId="6" fontId="4" fillId="3" borderId="35" xfId="0" applyNumberFormat="1" applyFont="1" applyFill="1" applyBorder="1" applyAlignment="1">
      <alignment horizontal="center"/>
    </xf>
    <xf numFmtId="6" fontId="4" fillId="3" borderId="36" xfId="0" applyNumberFormat="1" applyFont="1" applyFill="1" applyBorder="1" applyAlignment="1">
      <alignment horizontal="center"/>
    </xf>
    <xf numFmtId="166" fontId="10" fillId="0" borderId="18" xfId="1" applyNumberFormat="1" applyFont="1" applyFill="1" applyBorder="1" applyAlignment="1">
      <alignment horizontal="center"/>
    </xf>
    <xf numFmtId="166" fontId="10" fillId="0" borderId="22" xfId="1" applyNumberFormat="1" applyFont="1" applyFill="1" applyBorder="1" applyAlignment="1">
      <alignment horizontal="center"/>
    </xf>
    <xf numFmtId="166" fontId="10" fillId="0" borderId="23" xfId="1" applyNumberFormat="1" applyFont="1" applyFill="1" applyBorder="1" applyAlignment="1">
      <alignment horizontal="center"/>
    </xf>
    <xf numFmtId="166" fontId="10" fillId="0" borderId="16" xfId="1" applyNumberFormat="1" applyFont="1" applyFill="1" applyBorder="1" applyAlignment="1">
      <alignment horizontal="center"/>
    </xf>
    <xf numFmtId="166" fontId="10" fillId="0" borderId="17" xfId="1" applyNumberFormat="1" applyFont="1" applyFill="1" applyBorder="1" applyAlignment="1">
      <alignment horizontal="center"/>
    </xf>
    <xf numFmtId="166" fontId="10" fillId="0" borderId="24" xfId="1" applyNumberFormat="1" applyFont="1" applyFill="1" applyBorder="1" applyAlignment="1">
      <alignment horizontal="center"/>
    </xf>
    <xf numFmtId="166" fontId="10" fillId="0" borderId="8" xfId="1" applyNumberFormat="1" applyFont="1" applyFill="1" applyBorder="1" applyAlignment="1">
      <alignment horizontal="center"/>
    </xf>
    <xf numFmtId="166" fontId="10" fillId="0" borderId="25" xfId="1" applyNumberFormat="1" applyFont="1" applyFill="1" applyBorder="1" applyAlignment="1">
      <alignment horizontal="center"/>
    </xf>
    <xf numFmtId="168" fontId="7" fillId="2" borderId="8" xfId="0" applyNumberFormat="1" applyFont="1" applyFill="1" applyBorder="1" applyAlignment="1">
      <alignment horizontal="center"/>
    </xf>
    <xf numFmtId="0" fontId="0" fillId="0" borderId="13" xfId="0" applyBorder="1"/>
    <xf numFmtId="0" fontId="2" fillId="0" borderId="14" xfId="0" applyFont="1" applyBorder="1"/>
    <xf numFmtId="0" fontId="0" fillId="0" borderId="15" xfId="0" applyBorder="1"/>
    <xf numFmtId="0" fontId="0" fillId="0" borderId="7" xfId="0" applyBorder="1"/>
    <xf numFmtId="0" fontId="0" fillId="0" borderId="37" xfId="0" applyBorder="1"/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2" xfId="0" applyFont="1" applyFill="1" applyBorder="1" applyAlignment="1">
      <alignment horizontal="center"/>
    </xf>
    <xf numFmtId="0" fontId="9" fillId="3" borderId="23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7" fillId="0" borderId="0" xfId="0" applyFont="1" applyFill="1" applyBorder="1" applyAlignment="1">
      <alignment horizontal="center"/>
    </xf>
    <xf numFmtId="168" fontId="7" fillId="0" borderId="0" xfId="0" applyNumberFormat="1" applyFont="1" applyFill="1" applyBorder="1" applyAlignment="1">
      <alignment horizontal="center"/>
    </xf>
    <xf numFmtId="168" fontId="7" fillId="0" borderId="37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0" fillId="0" borderId="0" xfId="0" applyNumberFormat="1"/>
    <xf numFmtId="0" fontId="0" fillId="0" borderId="0" xfId="0" applyNumberFormat="1"/>
    <xf numFmtId="0" fontId="2" fillId="0" borderId="6" xfId="0" applyNumberFormat="1" applyFont="1" applyBorder="1" applyAlignment="1">
      <alignment horizontal="center"/>
    </xf>
    <xf numFmtId="2" fontId="0" fillId="0" borderId="0" xfId="0" applyNumberFormat="1"/>
    <xf numFmtId="164" fontId="7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9" fontId="14" fillId="2" borderId="6" xfId="0" quotePrefix="1" applyNumberFormat="1" applyFont="1" applyFill="1" applyBorder="1" applyAlignment="1">
      <alignment horizontal="center"/>
    </xf>
    <xf numFmtId="169" fontId="14" fillId="2" borderId="6" xfId="0" quotePrefix="1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" fontId="10" fillId="3" borderId="6" xfId="1" applyNumberFormat="1" applyFont="1" applyFill="1" applyBorder="1" applyAlignment="1">
      <alignment horizontal="center"/>
    </xf>
    <xf numFmtId="6" fontId="4" fillId="3" borderId="32" xfId="0" applyNumberFormat="1" applyFont="1" applyFill="1" applyBorder="1" applyAlignment="1">
      <alignment horizontal="center"/>
    </xf>
    <xf numFmtId="164" fontId="4" fillId="3" borderId="34" xfId="1" applyNumberFormat="1" applyFont="1" applyFill="1" applyBorder="1" applyAlignment="1">
      <alignment horizontal="center"/>
    </xf>
    <xf numFmtId="0" fontId="4" fillId="3" borderId="0" xfId="0" applyFont="1" applyFill="1"/>
    <xf numFmtId="6" fontId="4" fillId="3" borderId="34" xfId="0" applyNumberFormat="1" applyFont="1" applyFill="1" applyBorder="1" applyAlignment="1">
      <alignment horizontal="center"/>
    </xf>
    <xf numFmtId="2" fontId="0" fillId="3" borderId="0" xfId="0" applyNumberFormat="1" applyFill="1"/>
    <xf numFmtId="166" fontId="10" fillId="3" borderId="6" xfId="1" applyNumberFormat="1" applyFont="1" applyFill="1" applyBorder="1" applyAlignment="1">
      <alignment horizontal="center"/>
    </xf>
    <xf numFmtId="169" fontId="7" fillId="3" borderId="34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right"/>
    </xf>
    <xf numFmtId="0" fontId="3" fillId="3" borderId="0" xfId="0" applyFont="1" applyFill="1"/>
    <xf numFmtId="172" fontId="10" fillId="3" borderId="6" xfId="3" applyNumberFormat="1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4" fillId="3" borderId="38" xfId="0" applyFont="1" applyFill="1" applyBorder="1"/>
    <xf numFmtId="164" fontId="4" fillId="3" borderId="6" xfId="0" applyNumberFormat="1" applyFont="1" applyFill="1" applyBorder="1" applyAlignment="1">
      <alignment horizontal="center"/>
    </xf>
    <xf numFmtId="0" fontId="4" fillId="3" borderId="39" xfId="0" applyFont="1" applyFill="1" applyBorder="1" applyAlignment="1">
      <alignment horizontal="center"/>
    </xf>
    <xf numFmtId="0" fontId="4" fillId="3" borderId="40" xfId="0" applyFont="1" applyFill="1" applyBorder="1"/>
    <xf numFmtId="1" fontId="4" fillId="3" borderId="6" xfId="0" quotePrefix="1" applyNumberFormat="1" applyFont="1" applyFill="1" applyBorder="1" applyAlignment="1">
      <alignment horizontal="center"/>
    </xf>
    <xf numFmtId="0" fontId="4" fillId="3" borderId="41" xfId="0" quotePrefix="1" applyFont="1" applyFill="1" applyBorder="1" applyAlignment="1">
      <alignment horizontal="center"/>
    </xf>
    <xf numFmtId="3" fontId="4" fillId="3" borderId="6" xfId="1" applyNumberFormat="1" applyFont="1" applyFill="1" applyBorder="1" applyAlignment="1">
      <alignment horizontal="center"/>
    </xf>
    <xf numFmtId="165" fontId="4" fillId="3" borderId="6" xfId="0" quotePrefix="1" applyNumberFormat="1" applyFont="1" applyFill="1" applyBorder="1" applyAlignment="1">
      <alignment horizontal="center"/>
    </xf>
    <xf numFmtId="0" fontId="4" fillId="3" borderId="41" xfId="0" applyFont="1" applyFill="1" applyBorder="1" applyAlignment="1">
      <alignment horizontal="center"/>
    </xf>
    <xf numFmtId="0" fontId="4" fillId="3" borderId="42" xfId="0" applyFont="1" applyFill="1" applyBorder="1"/>
    <xf numFmtId="166" fontId="4" fillId="3" borderId="6" xfId="0" applyNumberFormat="1" applyFont="1" applyFill="1" applyBorder="1" applyAlignment="1">
      <alignment horizontal="center"/>
    </xf>
    <xf numFmtId="0" fontId="4" fillId="3" borderId="43" xfId="0" applyFont="1" applyFill="1" applyBorder="1" applyAlignment="1">
      <alignment horizontal="center"/>
    </xf>
    <xf numFmtId="0" fontId="9" fillId="3" borderId="0" xfId="0" applyFont="1" applyFill="1"/>
    <xf numFmtId="0" fontId="2" fillId="3" borderId="0" xfId="0" applyFont="1" applyFill="1"/>
    <xf numFmtId="0" fontId="0" fillId="3" borderId="38" xfId="0" quotePrefix="1" applyFont="1" applyFill="1" applyBorder="1"/>
    <xf numFmtId="0" fontId="0" fillId="3" borderId="44" xfId="0" applyFill="1" applyBorder="1"/>
    <xf numFmtId="0" fontId="0" fillId="3" borderId="39" xfId="0" applyFill="1" applyBorder="1"/>
    <xf numFmtId="2" fontId="0" fillId="3" borderId="42" xfId="0" applyNumberFormat="1" applyFont="1" applyFill="1" applyBorder="1"/>
    <xf numFmtId="0" fontId="0" fillId="3" borderId="45" xfId="0" applyFill="1" applyBorder="1"/>
    <xf numFmtId="0" fontId="0" fillId="3" borderId="43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3" borderId="0" xfId="0" applyFont="1" applyFill="1"/>
    <xf numFmtId="0" fontId="4" fillId="3" borderId="0" xfId="0" applyFont="1" applyFill="1" applyBorder="1" applyAlignment="1">
      <alignment horizontal="center"/>
    </xf>
    <xf numFmtId="0" fontId="4" fillId="3" borderId="0" xfId="0" quotePrefix="1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0" fillId="3" borderId="18" xfId="0" applyFill="1" applyBorder="1"/>
    <xf numFmtId="0" fontId="4" fillId="3" borderId="19" xfId="0" applyFont="1" applyFill="1" applyBorder="1"/>
    <xf numFmtId="0" fontId="4" fillId="3" borderId="20" xfId="0" applyFont="1" applyFill="1" applyBorder="1"/>
    <xf numFmtId="0" fontId="4" fillId="3" borderId="21" xfId="0" applyFont="1" applyFill="1" applyBorder="1"/>
    <xf numFmtId="164" fontId="4" fillId="3" borderId="18" xfId="0" applyNumberFormat="1" applyFont="1" applyFill="1" applyBorder="1" applyAlignment="1">
      <alignment horizontal="center"/>
    </xf>
    <xf numFmtId="164" fontId="4" fillId="3" borderId="22" xfId="0" applyNumberFormat="1" applyFont="1" applyFill="1" applyBorder="1" applyAlignment="1">
      <alignment horizontal="center"/>
    </xf>
    <xf numFmtId="168" fontId="4" fillId="3" borderId="23" xfId="2" applyNumberFormat="1" applyFont="1" applyFill="1" applyBorder="1" applyAlignment="1">
      <alignment horizontal="center"/>
    </xf>
    <xf numFmtId="1" fontId="4" fillId="3" borderId="16" xfId="0" quotePrefix="1" applyNumberFormat="1" applyFont="1" applyFill="1" applyBorder="1" applyAlignment="1">
      <alignment horizontal="center"/>
    </xf>
    <xf numFmtId="168" fontId="4" fillId="3" borderId="17" xfId="2" applyNumberFormat="1" applyFont="1" applyFill="1" applyBorder="1" applyAlignment="1">
      <alignment horizontal="center"/>
    </xf>
    <xf numFmtId="3" fontId="4" fillId="3" borderId="16" xfId="1" applyNumberFormat="1" applyFont="1" applyFill="1" applyBorder="1" applyAlignment="1">
      <alignment horizontal="center"/>
    </xf>
    <xf numFmtId="44" fontId="4" fillId="3" borderId="16" xfId="3" applyFont="1" applyFill="1" applyBorder="1" applyAlignment="1">
      <alignment horizontal="center"/>
    </xf>
    <xf numFmtId="0" fontId="4" fillId="3" borderId="26" xfId="0" applyFont="1" applyFill="1" applyBorder="1"/>
    <xf numFmtId="166" fontId="4" fillId="3" borderId="24" xfId="0" applyNumberFormat="1" applyFont="1" applyFill="1" applyBorder="1" applyAlignment="1">
      <alignment horizontal="center"/>
    </xf>
    <xf numFmtId="166" fontId="4" fillId="3" borderId="8" xfId="0" applyNumberFormat="1" applyFont="1" applyFill="1" applyBorder="1" applyAlignment="1">
      <alignment horizontal="center"/>
    </xf>
    <xf numFmtId="168" fontId="4" fillId="3" borderId="25" xfId="2" applyNumberFormat="1" applyFont="1" applyFill="1" applyBorder="1" applyAlignment="1">
      <alignment horizontal="center"/>
    </xf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70" zoomScaleNormal="70" workbookViewId="0">
      <selection activeCell="B12" sqref="B12"/>
    </sheetView>
  </sheetViews>
  <sheetFormatPr defaultRowHeight="15" x14ac:dyDescent="0.25"/>
  <cols>
    <col min="2" max="2" width="35.28515625" customWidth="1"/>
    <col min="3" max="4" width="15.5703125" customWidth="1"/>
    <col min="5" max="5" width="16.42578125" customWidth="1"/>
    <col min="7" max="7" width="21.85546875" customWidth="1"/>
  </cols>
  <sheetData>
    <row r="1" spans="1:9" ht="21" x14ac:dyDescent="0.35">
      <c r="A1" s="91" t="s">
        <v>46</v>
      </c>
      <c r="B1" s="91"/>
      <c r="C1" s="91"/>
      <c r="D1" s="91"/>
      <c r="E1" s="91"/>
      <c r="F1" s="91"/>
      <c r="G1" s="91"/>
      <c r="H1" s="91"/>
      <c r="I1" s="91"/>
    </row>
    <row r="2" spans="1:9" ht="15.75" thickBot="1" x14ac:dyDescent="0.3">
      <c r="A2" s="117" t="s">
        <v>52</v>
      </c>
      <c r="B2" s="30"/>
      <c r="C2" s="30"/>
      <c r="D2" s="30"/>
      <c r="E2" s="30"/>
      <c r="F2" s="30"/>
      <c r="G2" s="30"/>
      <c r="H2" s="30"/>
      <c r="I2" s="30"/>
    </row>
    <row r="3" spans="1:9" ht="29.25" thickBot="1" x14ac:dyDescent="0.5">
      <c r="A3" s="30"/>
      <c r="B3" s="15" t="s">
        <v>56</v>
      </c>
      <c r="C3" s="16"/>
      <c r="D3" s="16"/>
      <c r="E3" s="17"/>
      <c r="F3" s="30"/>
      <c r="G3" s="30"/>
      <c r="H3" s="30"/>
      <c r="I3" s="30"/>
    </row>
    <row r="4" spans="1:9" ht="23.25" x14ac:dyDescent="0.35">
      <c r="A4" s="30"/>
      <c r="B4" s="18"/>
      <c r="C4" s="69" t="str">
        <f>IF(SETTINGS!D10="HQW","High Quarter Wages","ERROR")</f>
        <v>High Quarter Wages</v>
      </c>
      <c r="D4" s="69"/>
      <c r="E4" s="70"/>
      <c r="F4" s="30"/>
      <c r="G4" s="31" t="s">
        <v>25</v>
      </c>
      <c r="H4" s="30"/>
      <c r="I4" s="30"/>
    </row>
    <row r="5" spans="1:9" ht="24" thickBot="1" x14ac:dyDescent="0.4">
      <c r="A5" s="30"/>
      <c r="B5" s="19" t="str">
        <f>IF(SETTINGS!D11="BPW","Base Period Wages","ERROR")</f>
        <v>Base Period Wages</v>
      </c>
      <c r="C5" s="22">
        <f>IF(SETTINGS!$C$15=1,SETTINGS!C22*(1+SETTINGS!$C$18)^SETTINGS!$C$16,SETTINGS!C22)</f>
        <v>2500</v>
      </c>
      <c r="D5" s="22">
        <f>IF(SETTINGS!$C$15=1,SETTINGS!D22*(1+SETTINGS!$C$18)^SETTINGS!$C$16,SETTINGS!D22)</f>
        <v>6500</v>
      </c>
      <c r="E5" s="32">
        <f>IF(SETTINGS!$C$15=1,SETTINGS!E22*(1+SETTINGS!$C$18)^SETTINGS!$C$16,SETTINGS!E22)</f>
        <v>10500</v>
      </c>
      <c r="F5" s="30"/>
      <c r="G5" s="33" t="s">
        <v>26</v>
      </c>
      <c r="H5" s="30"/>
      <c r="I5" s="30"/>
    </row>
    <row r="6" spans="1:9" ht="21" x14ac:dyDescent="0.35">
      <c r="A6" s="30"/>
      <c r="B6" s="22">
        <f>IF(SETTINGS!$C$15=1,SETTINGS!B23*(1+SETTINGS!$C$18)^SETTINGS!$C$16,SETTINGS!B23)</f>
        <v>6500</v>
      </c>
      <c r="C6" s="92">
        <f>IF(SETTINGS!C23&gt;0,SETTINGS!C23,"-")</f>
        <v>80</v>
      </c>
      <c r="D6" s="92">
        <f>IF(SETTINGS!D23&gt;0,SETTINGS!D23,"-")</f>
        <v>50</v>
      </c>
      <c r="E6" s="92" t="str">
        <f>IF(SETTINGS!E23&gt;0,SETTINGS!E23,"-")</f>
        <v>-</v>
      </c>
      <c r="F6" s="30"/>
      <c r="G6" s="93"/>
      <c r="H6" s="30"/>
      <c r="I6" s="30"/>
    </row>
    <row r="7" spans="1:9" ht="21" x14ac:dyDescent="0.35">
      <c r="A7" s="30"/>
      <c r="B7" s="22">
        <f>IF(SETTINGS!$C$15=1,SETTINGS!B24*(1+SETTINGS!$C$18)^SETTINGS!$C$16,SETTINGS!B24)</f>
        <v>12500</v>
      </c>
      <c r="C7" s="92" t="str">
        <f>IF(SETTINGS!C24&gt;0,SETTINGS!C24,"-")</f>
        <v>-</v>
      </c>
      <c r="D7" s="92">
        <f>IF(SETTINGS!D24&gt;0,SETTINGS!D24,"-")</f>
        <v>60</v>
      </c>
      <c r="E7" s="92">
        <f>IF(SETTINGS!E24&gt;0,SETTINGS!E24,"-")</f>
        <v>20</v>
      </c>
      <c r="F7" s="30"/>
      <c r="G7" s="93"/>
      <c r="H7" s="30"/>
      <c r="I7" s="30"/>
    </row>
    <row r="8" spans="1:9" ht="21" x14ac:dyDescent="0.35">
      <c r="A8" s="30"/>
      <c r="B8" s="22">
        <f>IF(SETTINGS!$C$15=1,SETTINGS!B25*(1+SETTINGS!$C$18)^SETTINGS!$C$16,SETTINGS!B25)</f>
        <v>19000</v>
      </c>
      <c r="C8" s="92" t="str">
        <f>IF(SETTINGS!C25&gt;0,SETTINGS!C25,"-")</f>
        <v>-</v>
      </c>
      <c r="D8" s="92">
        <f>IF(SETTINGS!D25&gt;0,SETTINGS!D25,"-")</f>
        <v>40</v>
      </c>
      <c r="E8" s="92">
        <f>IF(SETTINGS!E25&gt;0,SETTINGS!E25,"-")</f>
        <v>30</v>
      </c>
      <c r="F8" s="30"/>
      <c r="G8" s="93"/>
      <c r="H8" s="30"/>
      <c r="I8" s="30"/>
    </row>
    <row r="9" spans="1:9" ht="21" x14ac:dyDescent="0.35">
      <c r="A9" s="30"/>
      <c r="B9" s="22">
        <f>IF(SETTINGS!$C$15=1,SETTINGS!B26*(1+SETTINGS!$C$18)^SETTINGS!$C$16,SETTINGS!B26)</f>
        <v>27000</v>
      </c>
      <c r="C9" s="92" t="str">
        <f>IF(SETTINGS!C26&gt;0,SETTINGS!C26,"-")</f>
        <v>-</v>
      </c>
      <c r="D9" s="92" t="str">
        <f>IF(SETTINGS!D26&gt;0,SETTINGS!D26,"-")</f>
        <v>-</v>
      </c>
      <c r="E9" s="92">
        <f>IF(SETTINGS!E26&gt;0,SETTINGS!E26,"-")</f>
        <v>50</v>
      </c>
      <c r="F9" s="30"/>
      <c r="G9" s="93"/>
      <c r="H9" s="30"/>
      <c r="I9" s="30"/>
    </row>
    <row r="10" spans="1:9" ht="21.75" thickBot="1" x14ac:dyDescent="0.4">
      <c r="A10" s="30"/>
      <c r="B10" s="27">
        <f>IF(SETTINGS!$C$15=1,SETTINGS!B27*(1+SETTINGS!$C$18)^SETTINGS!$C$16,SETTINGS!B27)</f>
        <v>36000</v>
      </c>
      <c r="C10" s="92" t="str">
        <f>IF(SETTINGS!C27&gt;0,SETTINGS!C27,"-")</f>
        <v>-</v>
      </c>
      <c r="D10" s="92" t="str">
        <f>IF(SETTINGS!D27&gt;0,SETTINGS!D27,"-")</f>
        <v>-</v>
      </c>
      <c r="E10" s="92">
        <f>IF(SETTINGS!E27&gt;0,SETTINGS!E27,"-")</f>
        <v>80</v>
      </c>
      <c r="F10" s="30"/>
      <c r="G10" s="93"/>
      <c r="H10" s="30"/>
      <c r="I10" s="30"/>
    </row>
    <row r="11" spans="1:9" ht="15.75" thickBot="1" x14ac:dyDescent="0.3">
      <c r="A11" s="30"/>
      <c r="B11" s="30"/>
      <c r="C11" s="30"/>
      <c r="D11" s="30"/>
      <c r="E11" s="30"/>
      <c r="F11" s="30"/>
      <c r="G11" s="30"/>
      <c r="H11" s="30"/>
      <c r="I11" s="30"/>
    </row>
    <row r="12" spans="1:9" ht="24" thickBot="1" x14ac:dyDescent="0.4">
      <c r="A12" s="30"/>
      <c r="B12" s="36" t="s">
        <v>14</v>
      </c>
      <c r="C12" s="94"/>
      <c r="D12" s="94"/>
      <c r="E12" s="94"/>
      <c r="F12" s="30"/>
      <c r="G12" s="30"/>
      <c r="H12" s="30"/>
      <c r="I12" s="30"/>
    </row>
    <row r="13" spans="1:9" ht="15.75" thickBot="1" x14ac:dyDescent="0.3">
      <c r="A13" s="30"/>
      <c r="B13" s="30"/>
      <c r="C13" s="38" t="str">
        <f>IF(C12&gt;$C14,"ABOVE MAX WBA","")</f>
        <v/>
      </c>
      <c r="D13" s="38" t="str">
        <f>IF(D12&gt;$C14,"ABOVE MAX WBA","")</f>
        <v/>
      </c>
      <c r="E13" s="38" t="str">
        <f>IF(E12&gt;$C14,"ABOVE MAX WBA","")</f>
        <v/>
      </c>
      <c r="F13" s="30"/>
      <c r="G13" s="30"/>
      <c r="H13" s="30"/>
      <c r="I13" s="30"/>
    </row>
    <row r="14" spans="1:9" ht="21.75" thickBot="1" x14ac:dyDescent="0.4">
      <c r="A14" s="30"/>
      <c r="B14" s="95" t="s">
        <v>42</v>
      </c>
      <c r="C14" s="96"/>
      <c r="D14" s="30"/>
      <c r="E14" s="30"/>
      <c r="F14" s="30"/>
      <c r="G14" s="30"/>
      <c r="H14" s="30"/>
      <c r="I14" s="30"/>
    </row>
    <row r="15" spans="1:9" x14ac:dyDescent="0.25">
      <c r="A15" s="30"/>
      <c r="B15" s="30"/>
      <c r="C15" s="30"/>
      <c r="D15" s="30"/>
      <c r="E15" s="97"/>
      <c r="F15" s="30"/>
      <c r="G15" s="30"/>
      <c r="H15" s="30"/>
      <c r="I15" s="30"/>
    </row>
    <row r="16" spans="1:9" ht="15.75" thickBot="1" x14ac:dyDescent="0.3">
      <c r="A16" s="117" t="s">
        <v>53</v>
      </c>
      <c r="B16" s="30"/>
      <c r="C16" s="30"/>
      <c r="D16" s="30"/>
      <c r="E16" s="30"/>
      <c r="F16" s="30"/>
      <c r="G16" s="30"/>
      <c r="H16" s="30"/>
      <c r="I16" s="30"/>
    </row>
    <row r="17" spans="1:9" ht="29.25" thickBot="1" x14ac:dyDescent="0.5">
      <c r="A17" s="30"/>
      <c r="B17" s="15" t="s">
        <v>41</v>
      </c>
      <c r="C17" s="16"/>
      <c r="D17" s="16"/>
      <c r="E17" s="17"/>
      <c r="F17" s="30"/>
      <c r="G17" s="30"/>
      <c r="H17" s="30"/>
      <c r="I17" s="30"/>
    </row>
    <row r="18" spans="1:9" ht="23.25" x14ac:dyDescent="0.35">
      <c r="A18" s="30"/>
      <c r="B18" s="18"/>
      <c r="C18" s="69" t="str">
        <f>C4</f>
        <v>High Quarter Wages</v>
      </c>
      <c r="D18" s="69"/>
      <c r="E18" s="70"/>
      <c r="F18" s="30"/>
      <c r="G18" s="31" t="s">
        <v>25</v>
      </c>
      <c r="H18" s="30"/>
      <c r="I18" s="30"/>
    </row>
    <row r="19" spans="1:9" ht="24" thickBot="1" x14ac:dyDescent="0.4">
      <c r="A19" s="30"/>
      <c r="B19" s="22" t="str">
        <f>B5</f>
        <v>Base Period Wages</v>
      </c>
      <c r="C19" s="22">
        <f>C5</f>
        <v>2500</v>
      </c>
      <c r="D19" s="22">
        <f>D5</f>
        <v>6500</v>
      </c>
      <c r="E19" s="22">
        <f>E5</f>
        <v>10500</v>
      </c>
      <c r="F19" s="30"/>
      <c r="G19" s="33" t="s">
        <v>26</v>
      </c>
      <c r="H19" s="30"/>
      <c r="I19" s="30"/>
    </row>
    <row r="20" spans="1:9" ht="21" x14ac:dyDescent="0.35">
      <c r="A20" s="30"/>
      <c r="B20" s="22">
        <f>B6</f>
        <v>6500</v>
      </c>
      <c r="C20" s="98"/>
      <c r="D20" s="98"/>
      <c r="E20" s="98"/>
      <c r="F20" s="30"/>
      <c r="G20" s="93">
        <f>G6</f>
        <v>0</v>
      </c>
      <c r="H20" s="30"/>
      <c r="I20" s="30"/>
    </row>
    <row r="21" spans="1:9" ht="21" x14ac:dyDescent="0.35">
      <c r="A21" s="30"/>
      <c r="B21" s="22">
        <f t="shared" ref="B21:B24" si="0">B7</f>
        <v>12500</v>
      </c>
      <c r="C21" s="98"/>
      <c r="D21" s="98"/>
      <c r="E21" s="98"/>
      <c r="F21" s="30"/>
      <c r="G21" s="93">
        <f>G7</f>
        <v>0</v>
      </c>
      <c r="H21" s="30"/>
      <c r="I21" s="30"/>
    </row>
    <row r="22" spans="1:9" ht="21" x14ac:dyDescent="0.35">
      <c r="A22" s="30"/>
      <c r="B22" s="22">
        <f t="shared" si="0"/>
        <v>19000</v>
      </c>
      <c r="C22" s="98"/>
      <c r="D22" s="98"/>
      <c r="E22" s="98"/>
      <c r="F22" s="30"/>
      <c r="G22" s="93">
        <f>G8</f>
        <v>0</v>
      </c>
      <c r="H22" s="30"/>
      <c r="I22" s="30"/>
    </row>
    <row r="23" spans="1:9" ht="21" x14ac:dyDescent="0.35">
      <c r="A23" s="30"/>
      <c r="B23" s="22">
        <f t="shared" si="0"/>
        <v>27000</v>
      </c>
      <c r="C23" s="98"/>
      <c r="D23" s="98"/>
      <c r="E23" s="98"/>
      <c r="F23" s="30"/>
      <c r="G23" s="93">
        <f>G9</f>
        <v>0</v>
      </c>
      <c r="H23" s="30"/>
      <c r="I23" s="30"/>
    </row>
    <row r="24" spans="1:9" ht="21" x14ac:dyDescent="0.35">
      <c r="A24" s="30"/>
      <c r="B24" s="22">
        <f t="shared" si="0"/>
        <v>36000</v>
      </c>
      <c r="C24" s="98"/>
      <c r="D24" s="98"/>
      <c r="E24" s="98"/>
      <c r="F24" s="30"/>
      <c r="G24" s="93">
        <f>G10</f>
        <v>0</v>
      </c>
      <c r="H24" s="30"/>
      <c r="I24" s="30"/>
    </row>
    <row r="25" spans="1:9" ht="15.75" thickBot="1" x14ac:dyDescent="0.3">
      <c r="A25" s="30"/>
      <c r="B25" s="30"/>
      <c r="C25" s="30"/>
      <c r="D25" s="30"/>
      <c r="E25" s="30"/>
      <c r="F25" s="30"/>
      <c r="G25" s="30"/>
      <c r="H25" s="30"/>
      <c r="I25" s="30"/>
    </row>
    <row r="26" spans="1:9" ht="24" thickBot="1" x14ac:dyDescent="0.4">
      <c r="A26" s="30"/>
      <c r="B26" s="36" t="s">
        <v>14</v>
      </c>
      <c r="C26" s="94">
        <f>C12</f>
        <v>0</v>
      </c>
      <c r="D26" s="94">
        <f>D12</f>
        <v>0</v>
      </c>
      <c r="E26" s="94">
        <f>E12</f>
        <v>0</v>
      </c>
      <c r="F26" s="30"/>
      <c r="G26" s="30"/>
      <c r="H26" s="30"/>
      <c r="I26" s="30"/>
    </row>
    <row r="27" spans="1:9" x14ac:dyDescent="0.25">
      <c r="A27" s="30"/>
      <c r="B27" s="30"/>
      <c r="C27" s="38"/>
      <c r="D27" s="38"/>
      <c r="E27" s="38"/>
      <c r="F27" s="30"/>
      <c r="G27" s="30"/>
      <c r="H27" s="30"/>
      <c r="I27" s="30"/>
    </row>
    <row r="28" spans="1:9" x14ac:dyDescent="0.25">
      <c r="A28" s="30"/>
      <c r="B28" s="30"/>
      <c r="C28" s="30"/>
      <c r="D28" s="30"/>
      <c r="E28" s="30"/>
      <c r="F28" s="30"/>
      <c r="G28" s="30"/>
      <c r="H28" s="30"/>
      <c r="I28" s="30"/>
    </row>
    <row r="29" spans="1:9" ht="15.75" thickBot="1" x14ac:dyDescent="0.3">
      <c r="A29" s="117" t="s">
        <v>54</v>
      </c>
      <c r="B29" s="30"/>
      <c r="C29" s="30"/>
      <c r="D29" s="30"/>
      <c r="E29" s="30"/>
      <c r="F29" s="30"/>
      <c r="G29" s="30"/>
      <c r="H29" s="30"/>
      <c r="I29" s="30"/>
    </row>
    <row r="30" spans="1:9" ht="29.25" thickBot="1" x14ac:dyDescent="0.5">
      <c r="A30" s="30"/>
      <c r="B30" s="15" t="s">
        <v>44</v>
      </c>
      <c r="C30" s="16"/>
      <c r="D30" s="16"/>
      <c r="E30" s="17"/>
      <c r="F30" s="30"/>
      <c r="G30" s="30"/>
      <c r="H30" s="30"/>
      <c r="I30" s="30"/>
    </row>
    <row r="31" spans="1:9" ht="23.25" x14ac:dyDescent="0.35">
      <c r="A31" s="30"/>
      <c r="B31" s="18"/>
      <c r="C31" s="69" t="str">
        <f>C18</f>
        <v>High Quarter Wages</v>
      </c>
      <c r="D31" s="69"/>
      <c r="E31" s="70"/>
      <c r="F31" s="30"/>
      <c r="G31" s="31" t="s">
        <v>25</v>
      </c>
      <c r="H31" s="30"/>
      <c r="I31" s="30"/>
    </row>
    <row r="32" spans="1:9" ht="24" thickBot="1" x14ac:dyDescent="0.4">
      <c r="A32" s="30"/>
      <c r="B32" s="22" t="str">
        <f>B19</f>
        <v>Base Period Wages</v>
      </c>
      <c r="C32" s="22">
        <f>C19</f>
        <v>2500</v>
      </c>
      <c r="D32" s="22">
        <f>D19</f>
        <v>6500</v>
      </c>
      <c r="E32" s="22">
        <f>E19</f>
        <v>10500</v>
      </c>
      <c r="F32" s="30"/>
      <c r="G32" s="33" t="s">
        <v>26</v>
      </c>
      <c r="H32" s="30"/>
      <c r="I32" s="30"/>
    </row>
    <row r="33" spans="1:9" ht="21" x14ac:dyDescent="0.35">
      <c r="A33" s="30"/>
      <c r="B33" s="22">
        <f>B20</f>
        <v>6500</v>
      </c>
      <c r="C33" s="98"/>
      <c r="D33" s="98"/>
      <c r="E33" s="98"/>
      <c r="F33" s="30"/>
      <c r="G33" s="93">
        <f>G20</f>
        <v>0</v>
      </c>
      <c r="H33" s="30"/>
      <c r="I33" s="30"/>
    </row>
    <row r="34" spans="1:9" ht="21" x14ac:dyDescent="0.35">
      <c r="A34" s="30"/>
      <c r="B34" s="22">
        <f>B21</f>
        <v>12500</v>
      </c>
      <c r="C34" s="98"/>
      <c r="D34" s="98"/>
      <c r="E34" s="98"/>
      <c r="F34" s="30"/>
      <c r="G34" s="93">
        <f>G21</f>
        <v>0</v>
      </c>
      <c r="H34" s="30"/>
      <c r="I34" s="30"/>
    </row>
    <row r="35" spans="1:9" ht="21" x14ac:dyDescent="0.35">
      <c r="A35" s="30"/>
      <c r="B35" s="22">
        <f>B22</f>
        <v>19000</v>
      </c>
      <c r="C35" s="98"/>
      <c r="D35" s="98"/>
      <c r="E35" s="98"/>
      <c r="F35" s="30"/>
      <c r="G35" s="93">
        <f>G22</f>
        <v>0</v>
      </c>
      <c r="H35" s="30"/>
      <c r="I35" s="30"/>
    </row>
    <row r="36" spans="1:9" ht="21" x14ac:dyDescent="0.35">
      <c r="A36" s="30"/>
      <c r="B36" s="22">
        <f>B23</f>
        <v>27000</v>
      </c>
      <c r="C36" s="98"/>
      <c r="D36" s="98"/>
      <c r="E36" s="98"/>
      <c r="F36" s="30"/>
      <c r="G36" s="93">
        <f>G23</f>
        <v>0</v>
      </c>
      <c r="H36" s="30"/>
      <c r="I36" s="30"/>
    </row>
    <row r="37" spans="1:9" ht="21" x14ac:dyDescent="0.35">
      <c r="A37" s="30"/>
      <c r="B37" s="22">
        <f>B24</f>
        <v>36000</v>
      </c>
      <c r="C37" s="98"/>
      <c r="D37" s="98"/>
      <c r="E37" s="98"/>
      <c r="F37" s="30"/>
      <c r="G37" s="93">
        <f>G24</f>
        <v>0</v>
      </c>
      <c r="H37" s="30"/>
      <c r="I37" s="30"/>
    </row>
    <row r="38" spans="1:9" ht="15.75" thickBot="1" x14ac:dyDescent="0.3">
      <c r="A38" s="30"/>
      <c r="B38" s="30"/>
      <c r="C38" s="30"/>
      <c r="D38" s="30"/>
      <c r="E38" s="30"/>
      <c r="F38" s="30"/>
      <c r="G38" s="30"/>
      <c r="H38" s="30"/>
      <c r="I38" s="30"/>
    </row>
    <row r="39" spans="1:9" ht="24" thickBot="1" x14ac:dyDescent="0.4">
      <c r="A39" s="30"/>
      <c r="B39" s="36" t="s">
        <v>14</v>
      </c>
      <c r="C39" s="94">
        <f>C26</f>
        <v>0</v>
      </c>
      <c r="D39" s="94">
        <f>D26</f>
        <v>0</v>
      </c>
      <c r="E39" s="94">
        <f>E26</f>
        <v>0</v>
      </c>
      <c r="F39" s="30"/>
      <c r="G39" s="30"/>
      <c r="H39" s="30"/>
      <c r="I39" s="30"/>
    </row>
    <row r="40" spans="1:9" ht="15.75" thickBot="1" x14ac:dyDescent="0.3">
      <c r="A40" s="30"/>
      <c r="B40" s="30"/>
      <c r="C40" s="38"/>
      <c r="D40" s="38"/>
      <c r="E40" s="38"/>
      <c r="F40" s="30"/>
      <c r="G40" s="30"/>
      <c r="H40" s="30"/>
      <c r="I40" s="30"/>
    </row>
    <row r="41" spans="1:9" ht="24" thickBot="1" x14ac:dyDescent="0.4">
      <c r="A41" s="30"/>
      <c r="B41" s="116" t="s">
        <v>51</v>
      </c>
      <c r="C41" s="99"/>
      <c r="D41" s="30"/>
      <c r="F41" s="30"/>
      <c r="G41" s="30"/>
      <c r="H41" s="30"/>
      <c r="I41" s="30"/>
    </row>
    <row r="42" spans="1:9" x14ac:dyDescent="0.25">
      <c r="A42" s="30"/>
      <c r="B42" s="30"/>
      <c r="C42" s="30"/>
      <c r="D42" s="30"/>
      <c r="E42" s="118" t="s">
        <v>49</v>
      </c>
      <c r="F42" s="119"/>
      <c r="G42" s="120"/>
      <c r="H42" s="30"/>
      <c r="I42" s="30"/>
    </row>
    <row r="43" spans="1:9" ht="21.75" x14ac:dyDescent="0.35">
      <c r="A43" s="30"/>
      <c r="B43" s="100" t="s">
        <v>31</v>
      </c>
      <c r="C43" s="101" t="s">
        <v>32</v>
      </c>
      <c r="D43" s="30"/>
      <c r="E43" s="121" t="s">
        <v>47</v>
      </c>
      <c r="F43" s="122"/>
      <c r="G43" s="123" t="s">
        <v>48</v>
      </c>
      <c r="H43" s="30"/>
      <c r="I43" s="30"/>
    </row>
    <row r="44" spans="1:9" x14ac:dyDescent="0.25">
      <c r="A44" s="30"/>
      <c r="B44" s="30"/>
      <c r="C44" s="30"/>
      <c r="D44" s="30"/>
      <c r="E44" s="30"/>
      <c r="F44" s="30"/>
      <c r="G44" s="30"/>
      <c r="H44" s="30"/>
      <c r="I44" s="30"/>
    </row>
    <row r="45" spans="1:9" ht="15.75" thickBot="1" x14ac:dyDescent="0.3">
      <c r="A45" s="117" t="s">
        <v>55</v>
      </c>
      <c r="B45" s="30"/>
      <c r="C45" s="30"/>
      <c r="D45" s="30"/>
      <c r="E45" s="30"/>
      <c r="F45" s="30"/>
      <c r="G45" s="30"/>
      <c r="H45" s="30"/>
      <c r="I45" s="30"/>
    </row>
    <row r="46" spans="1:9" ht="29.25" thickBot="1" x14ac:dyDescent="0.5">
      <c r="A46" s="30"/>
      <c r="B46" s="15" t="s">
        <v>50</v>
      </c>
      <c r="C46" s="16"/>
      <c r="D46" s="16"/>
      <c r="E46" s="17"/>
      <c r="F46" s="30"/>
      <c r="G46" s="30"/>
      <c r="H46" s="30"/>
      <c r="I46" s="30"/>
    </row>
    <row r="47" spans="1:9" ht="23.25" x14ac:dyDescent="0.35">
      <c r="A47" s="30"/>
      <c r="B47" s="18"/>
      <c r="C47" s="69" t="str">
        <f>C31</f>
        <v>High Quarter Wages</v>
      </c>
      <c r="D47" s="69"/>
      <c r="E47" s="70"/>
      <c r="F47" s="30"/>
      <c r="G47" s="31" t="s">
        <v>25</v>
      </c>
      <c r="H47" s="30"/>
      <c r="I47" s="30"/>
    </row>
    <row r="48" spans="1:9" ht="24" thickBot="1" x14ac:dyDescent="0.4">
      <c r="A48" s="30"/>
      <c r="B48" s="22" t="str">
        <f>B32</f>
        <v>Base Period Wages</v>
      </c>
      <c r="C48" s="22">
        <f>C32</f>
        <v>2500</v>
      </c>
      <c r="D48" s="22">
        <f t="shared" ref="D48:E48" si="1">D32</f>
        <v>6500</v>
      </c>
      <c r="E48" s="22">
        <f t="shared" si="1"/>
        <v>10500</v>
      </c>
      <c r="F48" s="30"/>
      <c r="G48" s="33" t="s">
        <v>26</v>
      </c>
      <c r="H48" s="30"/>
      <c r="I48" s="30"/>
    </row>
    <row r="49" spans="1:9" ht="21" x14ac:dyDescent="0.35">
      <c r="A49" s="30"/>
      <c r="B49" s="22">
        <f>B33</f>
        <v>6500</v>
      </c>
      <c r="C49" s="102"/>
      <c r="D49" s="102"/>
      <c r="E49" s="102"/>
      <c r="F49" s="30"/>
      <c r="G49" s="93">
        <f>G33</f>
        <v>0</v>
      </c>
      <c r="H49" s="30"/>
      <c r="I49" s="30"/>
    </row>
    <row r="50" spans="1:9" ht="21" x14ac:dyDescent="0.35">
      <c r="A50" s="30"/>
      <c r="B50" s="22">
        <f t="shared" ref="B50:B53" si="2">B34</f>
        <v>12500</v>
      </c>
      <c r="C50" s="102"/>
      <c r="D50" s="102"/>
      <c r="E50" s="102"/>
      <c r="F50" s="30"/>
      <c r="G50" s="93">
        <f t="shared" ref="G50:G53" si="3">G34</f>
        <v>0</v>
      </c>
      <c r="H50" s="30"/>
      <c r="I50" s="30"/>
    </row>
    <row r="51" spans="1:9" ht="21" x14ac:dyDescent="0.35">
      <c r="A51" s="30"/>
      <c r="B51" s="22">
        <f t="shared" si="2"/>
        <v>19000</v>
      </c>
      <c r="C51" s="102"/>
      <c r="D51" s="102"/>
      <c r="E51" s="102"/>
      <c r="F51" s="30"/>
      <c r="G51" s="93">
        <f t="shared" si="3"/>
        <v>0</v>
      </c>
      <c r="H51" s="30"/>
      <c r="I51" s="30"/>
    </row>
    <row r="52" spans="1:9" ht="21" x14ac:dyDescent="0.35">
      <c r="A52" s="30"/>
      <c r="B52" s="22">
        <f t="shared" si="2"/>
        <v>27000</v>
      </c>
      <c r="C52" s="102"/>
      <c r="D52" s="102"/>
      <c r="E52" s="102"/>
      <c r="F52" s="30"/>
      <c r="G52" s="93">
        <f t="shared" si="3"/>
        <v>0</v>
      </c>
      <c r="H52" s="30"/>
      <c r="I52" s="30"/>
    </row>
    <row r="53" spans="1:9" ht="21" x14ac:dyDescent="0.35">
      <c r="A53" s="30"/>
      <c r="B53" s="22">
        <f t="shared" si="2"/>
        <v>36000</v>
      </c>
      <c r="C53" s="102"/>
      <c r="D53" s="102"/>
      <c r="E53" s="102"/>
      <c r="F53" s="30"/>
      <c r="G53" s="93">
        <f t="shared" si="3"/>
        <v>0</v>
      </c>
      <c r="H53" s="30"/>
      <c r="I53" s="30"/>
    </row>
    <row r="54" spans="1:9" ht="15.75" thickBot="1" x14ac:dyDescent="0.3">
      <c r="A54" s="30"/>
      <c r="B54" s="30"/>
      <c r="C54" s="30"/>
      <c r="D54" s="30"/>
      <c r="E54" s="30"/>
      <c r="F54" s="30"/>
      <c r="G54" s="30"/>
      <c r="H54" s="30"/>
      <c r="I54" s="30"/>
    </row>
    <row r="55" spans="1:9" ht="24" thickBot="1" x14ac:dyDescent="0.4">
      <c r="A55" s="30"/>
      <c r="B55" s="36" t="s">
        <v>14</v>
      </c>
      <c r="C55" s="94">
        <f>C39</f>
        <v>0</v>
      </c>
      <c r="D55" s="94">
        <f t="shared" ref="D55:E55" si="4">D39</f>
        <v>0</v>
      </c>
      <c r="E55" s="94">
        <f t="shared" si="4"/>
        <v>0</v>
      </c>
      <c r="F55" s="30"/>
      <c r="G55" s="30"/>
      <c r="H55" s="30"/>
      <c r="I55" s="30"/>
    </row>
    <row r="56" spans="1:9" x14ac:dyDescent="0.25">
      <c r="A56" s="30"/>
      <c r="B56" s="30"/>
      <c r="C56" s="38"/>
      <c r="D56" s="38"/>
      <c r="E56" s="38"/>
      <c r="F56" s="30"/>
      <c r="G56" s="30"/>
      <c r="H56" s="30"/>
      <c r="I56" s="30"/>
    </row>
    <row r="57" spans="1:9" x14ac:dyDescent="0.25">
      <c r="A57" s="30"/>
      <c r="B57" s="30"/>
      <c r="C57" s="30"/>
      <c r="D57" s="30"/>
      <c r="E57" s="30"/>
      <c r="F57" s="30"/>
      <c r="G57" s="30"/>
      <c r="H57" s="30"/>
      <c r="I57" s="30"/>
    </row>
    <row r="58" spans="1:9" ht="28.5" x14ac:dyDescent="0.45">
      <c r="A58" s="30"/>
      <c r="B58" s="103" t="s">
        <v>45</v>
      </c>
      <c r="C58" s="103"/>
      <c r="D58" s="103"/>
      <c r="E58" s="30"/>
      <c r="F58" s="30"/>
      <c r="G58" s="30"/>
      <c r="H58" s="30"/>
      <c r="I58" s="30"/>
    </row>
    <row r="59" spans="1:9" ht="21" x14ac:dyDescent="0.35">
      <c r="A59" s="30"/>
      <c r="B59" s="104" t="s">
        <v>4</v>
      </c>
      <c r="C59" s="105">
        <f>SUM(C49:E53)</f>
        <v>0</v>
      </c>
      <c r="D59" s="106" t="s">
        <v>5</v>
      </c>
      <c r="E59" s="30"/>
      <c r="F59" s="30"/>
      <c r="G59" s="30"/>
      <c r="H59" s="30"/>
      <c r="I59" s="30"/>
    </row>
    <row r="60" spans="1:9" ht="21" x14ac:dyDescent="0.35">
      <c r="A60" s="30"/>
      <c r="B60" s="107" t="s">
        <v>8</v>
      </c>
      <c r="C60" s="108">
        <f>SUM(C6:E10)</f>
        <v>410</v>
      </c>
      <c r="D60" s="109" t="s">
        <v>9</v>
      </c>
      <c r="E60" s="30"/>
      <c r="F60" s="30"/>
      <c r="G60" s="30"/>
      <c r="H60" s="30"/>
      <c r="I60" s="30"/>
    </row>
    <row r="61" spans="1:9" ht="21" x14ac:dyDescent="0.35">
      <c r="A61" s="30"/>
      <c r="B61" s="107" t="s">
        <v>10</v>
      </c>
      <c r="C61" s="110">
        <f>SUMPRODUCT(C33:E37,C6:E10)</f>
        <v>0</v>
      </c>
      <c r="D61" s="109" t="s">
        <v>9</v>
      </c>
      <c r="E61" s="30"/>
      <c r="F61" s="30"/>
      <c r="G61" s="30"/>
      <c r="H61" s="30"/>
      <c r="I61" s="30"/>
    </row>
    <row r="62" spans="1:9" ht="21" x14ac:dyDescent="0.35">
      <c r="A62" s="30"/>
      <c r="B62" s="107" t="s">
        <v>11</v>
      </c>
      <c r="C62" s="111" t="e">
        <f>C59/C61</f>
        <v>#DIV/0!</v>
      </c>
      <c r="D62" s="112"/>
      <c r="E62" s="30"/>
      <c r="F62" s="30"/>
      <c r="G62" s="30"/>
      <c r="H62" s="30"/>
      <c r="I62" s="30"/>
    </row>
    <row r="63" spans="1:9" ht="21" x14ac:dyDescent="0.35">
      <c r="A63" s="30"/>
      <c r="B63" s="113" t="s">
        <v>13</v>
      </c>
      <c r="C63" s="114">
        <f>C61/C60</f>
        <v>0</v>
      </c>
      <c r="D63" s="115" t="s">
        <v>7</v>
      </c>
      <c r="E63" s="30"/>
      <c r="F63" s="30"/>
      <c r="G63" s="30"/>
      <c r="H63" s="30"/>
      <c r="I63" s="30"/>
    </row>
    <row r="64" spans="1:9" x14ac:dyDescent="0.25">
      <c r="A64" s="30"/>
      <c r="B64" s="30"/>
      <c r="C64" s="30"/>
      <c r="D64" s="30"/>
      <c r="E64" s="30"/>
      <c r="F64" s="30"/>
      <c r="G64" s="30"/>
      <c r="H64" s="30"/>
      <c r="I64" s="30"/>
    </row>
    <row r="65" spans="1:9" x14ac:dyDescent="0.25">
      <c r="A65" s="30"/>
      <c r="B65" s="30"/>
      <c r="C65" s="30"/>
      <c r="D65" s="30"/>
      <c r="E65" s="30"/>
      <c r="F65" s="30"/>
      <c r="G65" s="30"/>
      <c r="H65" s="30"/>
      <c r="I65" s="30"/>
    </row>
  </sheetData>
  <mergeCells count="6">
    <mergeCell ref="A1:I1"/>
    <mergeCell ref="C4:E4"/>
    <mergeCell ref="C18:E18"/>
    <mergeCell ref="C31:E31"/>
    <mergeCell ref="C47:E47"/>
    <mergeCell ref="B58:D5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7"/>
  <sheetViews>
    <sheetView zoomScaleNormal="100" workbookViewId="0"/>
  </sheetViews>
  <sheetFormatPr defaultRowHeight="15" x14ac:dyDescent="0.25"/>
  <cols>
    <col min="1" max="1" width="3.5703125" customWidth="1"/>
    <col min="2" max="2" width="46.140625" customWidth="1"/>
    <col min="3" max="3" width="18.42578125" bestFit="1" customWidth="1"/>
    <col min="4" max="4" width="10.85546875" bestFit="1" customWidth="1"/>
    <col min="5" max="5" width="12.42578125" bestFit="1" customWidth="1"/>
  </cols>
  <sheetData>
    <row r="1" spans="2:6" ht="15.75" thickBot="1" x14ac:dyDescent="0.3"/>
    <row r="2" spans="2:6" ht="19.5" thickBot="1" x14ac:dyDescent="0.35">
      <c r="B2" s="76" t="s">
        <v>0</v>
      </c>
      <c r="C2" s="77"/>
      <c r="D2" s="77"/>
      <c r="E2" s="78"/>
      <c r="F2" s="1"/>
    </row>
    <row r="3" spans="2:6" x14ac:dyDescent="0.25">
      <c r="B3" s="64"/>
      <c r="C3" s="65" t="s">
        <v>2</v>
      </c>
      <c r="D3" s="65"/>
      <c r="E3" s="66"/>
      <c r="F3" s="4"/>
    </row>
    <row r="4" spans="2:6" ht="21" x14ac:dyDescent="0.35">
      <c r="B4" s="5" t="s">
        <v>3</v>
      </c>
      <c r="C4" s="6">
        <v>150</v>
      </c>
      <c r="D4" s="87"/>
      <c r="E4" s="7"/>
      <c r="F4" s="1"/>
    </row>
    <row r="5" spans="2:6" ht="21" x14ac:dyDescent="0.35">
      <c r="B5" s="5" t="s">
        <v>6</v>
      </c>
      <c r="C5" s="9">
        <v>26</v>
      </c>
      <c r="D5" s="88" t="s">
        <v>7</v>
      </c>
      <c r="E5" s="7"/>
      <c r="F5" s="1"/>
    </row>
    <row r="6" spans="2:6" ht="15.75" thickBot="1" x14ac:dyDescent="0.3">
      <c r="B6" s="67"/>
      <c r="C6" s="68"/>
      <c r="D6" s="68"/>
      <c r="E6" s="14"/>
    </row>
    <row r="7" spans="2:6" ht="19.5" thickBot="1" x14ac:dyDescent="0.35">
      <c r="B7" s="76" t="s">
        <v>36</v>
      </c>
      <c r="C7" s="77"/>
      <c r="D7" s="77"/>
      <c r="E7" s="78"/>
    </row>
    <row r="8" spans="2:6" x14ac:dyDescent="0.25">
      <c r="B8" s="2"/>
      <c r="C8" s="4"/>
      <c r="D8" s="4"/>
      <c r="E8" s="3"/>
    </row>
    <row r="9" spans="2:6" ht="18.75" x14ac:dyDescent="0.3">
      <c r="B9" s="5" t="s">
        <v>12</v>
      </c>
      <c r="C9" s="10">
        <v>2000</v>
      </c>
      <c r="D9" s="82"/>
      <c r="E9" s="3"/>
    </row>
    <row r="10" spans="2:6" ht="18.75" x14ac:dyDescent="0.3">
      <c r="B10" s="5" t="s">
        <v>14</v>
      </c>
      <c r="C10" s="89" t="s">
        <v>40</v>
      </c>
      <c r="D10" s="11" t="s">
        <v>38</v>
      </c>
      <c r="E10" s="3"/>
    </row>
    <row r="11" spans="2:6" ht="18.75" x14ac:dyDescent="0.3">
      <c r="B11" s="5" t="s">
        <v>15</v>
      </c>
      <c r="C11" s="89" t="s">
        <v>37</v>
      </c>
      <c r="D11" s="11" t="s">
        <v>39</v>
      </c>
      <c r="E11" s="3"/>
    </row>
    <row r="12" spans="2:6" x14ac:dyDescent="0.25">
      <c r="B12" s="2"/>
      <c r="C12" s="4"/>
      <c r="D12" s="4"/>
      <c r="E12" s="3"/>
    </row>
    <row r="13" spans="2:6" ht="18.75" x14ac:dyDescent="0.3">
      <c r="B13" s="5" t="s">
        <v>43</v>
      </c>
      <c r="C13" s="90">
        <v>0.98</v>
      </c>
      <c r="D13" s="4"/>
      <c r="E13" s="3"/>
    </row>
    <row r="14" spans="2:6" x14ac:dyDescent="0.25">
      <c r="B14" s="2"/>
      <c r="C14" s="4"/>
      <c r="D14" s="4"/>
      <c r="E14" s="3"/>
    </row>
    <row r="15" spans="2:6" ht="21" x14ac:dyDescent="0.35">
      <c r="B15" s="12" t="s">
        <v>16</v>
      </c>
      <c r="C15" s="9">
        <v>0</v>
      </c>
      <c r="D15" s="79"/>
      <c r="E15" s="3"/>
    </row>
    <row r="16" spans="2:6" ht="21" x14ac:dyDescent="0.35">
      <c r="B16" s="12" t="s">
        <v>17</v>
      </c>
      <c r="C16" s="9">
        <v>0</v>
      </c>
      <c r="D16" s="79"/>
      <c r="E16" s="3"/>
    </row>
    <row r="17" spans="2:5" ht="21.75" thickBot="1" x14ac:dyDescent="0.4">
      <c r="B17" s="12" t="s">
        <v>34</v>
      </c>
      <c r="C17" s="63">
        <v>1.4999999999999999E-2</v>
      </c>
      <c r="D17" s="80"/>
      <c r="E17" s="3"/>
    </row>
    <row r="18" spans="2:5" ht="21.75" thickBot="1" x14ac:dyDescent="0.4">
      <c r="B18" s="13" t="s">
        <v>35</v>
      </c>
      <c r="C18" s="63">
        <v>0</v>
      </c>
      <c r="D18" s="81"/>
      <c r="E18" s="14"/>
    </row>
    <row r="19" spans="2:5" ht="15.75" thickBot="1" x14ac:dyDescent="0.3"/>
    <row r="20" spans="2:5" ht="29.25" thickBot="1" x14ac:dyDescent="0.5">
      <c r="B20" s="15" t="s">
        <v>18</v>
      </c>
      <c r="C20" s="16"/>
      <c r="D20" s="16"/>
      <c r="E20" s="17"/>
    </row>
    <row r="21" spans="2:5" ht="23.25" x14ac:dyDescent="0.35">
      <c r="B21" s="18"/>
      <c r="C21" s="73" t="s">
        <v>19</v>
      </c>
      <c r="D21" s="74"/>
      <c r="E21" s="75"/>
    </row>
    <row r="22" spans="2:5" ht="23.25" x14ac:dyDescent="0.35">
      <c r="B22" s="19" t="s">
        <v>21</v>
      </c>
      <c r="C22" s="20">
        <v>2500</v>
      </c>
      <c r="D22" s="20">
        <v>6500</v>
      </c>
      <c r="E22" s="21">
        <v>10500</v>
      </c>
    </row>
    <row r="23" spans="2:5" ht="21" x14ac:dyDescent="0.35">
      <c r="B23" s="22">
        <v>6500</v>
      </c>
      <c r="C23" s="23">
        <v>80</v>
      </c>
      <c r="D23" s="23">
        <v>50</v>
      </c>
      <c r="E23" s="24">
        <v>0</v>
      </c>
    </row>
    <row r="24" spans="2:5" ht="21" x14ac:dyDescent="0.35">
      <c r="B24" s="22">
        <v>12500</v>
      </c>
      <c r="C24" s="25">
        <v>0</v>
      </c>
      <c r="D24" s="23">
        <v>60</v>
      </c>
      <c r="E24" s="26">
        <v>20</v>
      </c>
    </row>
    <row r="25" spans="2:5" ht="21" x14ac:dyDescent="0.35">
      <c r="B25" s="22">
        <v>19000</v>
      </c>
      <c r="C25" s="25">
        <v>0</v>
      </c>
      <c r="D25" s="23">
        <v>40</v>
      </c>
      <c r="E25" s="26">
        <v>30</v>
      </c>
    </row>
    <row r="26" spans="2:5" ht="21" x14ac:dyDescent="0.35">
      <c r="B26" s="22">
        <v>27000</v>
      </c>
      <c r="C26" s="25">
        <v>0</v>
      </c>
      <c r="D26" s="25">
        <v>0</v>
      </c>
      <c r="E26" s="26">
        <v>50</v>
      </c>
    </row>
    <row r="27" spans="2:5" ht="21.75" thickBot="1" x14ac:dyDescent="0.4">
      <c r="B27" s="27">
        <v>36000</v>
      </c>
      <c r="C27" s="28">
        <v>0</v>
      </c>
      <c r="D27" s="28">
        <v>0</v>
      </c>
      <c r="E27" s="29">
        <v>80</v>
      </c>
    </row>
  </sheetData>
  <mergeCells count="1">
    <mergeCell ref="C21:E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="85" zoomScaleNormal="85" workbookViewId="0"/>
  </sheetViews>
  <sheetFormatPr defaultRowHeight="15" x14ac:dyDescent="0.25"/>
  <cols>
    <col min="1" max="1" width="3.5703125" customWidth="1"/>
    <col min="2" max="2" width="32.28515625" customWidth="1"/>
    <col min="3" max="5" width="18" customWidth="1"/>
    <col min="7" max="7" width="18.42578125" bestFit="1" customWidth="1"/>
    <col min="8" max="8" width="4" customWidth="1"/>
  </cols>
  <sheetData>
    <row r="1" spans="1:8" ht="15.75" thickBot="1" x14ac:dyDescent="0.3">
      <c r="A1" s="30"/>
      <c r="B1" s="30"/>
      <c r="C1" s="30"/>
      <c r="D1" s="30"/>
      <c r="E1" s="30"/>
      <c r="F1" s="30"/>
      <c r="G1" s="30"/>
      <c r="H1" s="30"/>
    </row>
    <row r="2" spans="1:8" ht="29.25" thickBot="1" x14ac:dyDescent="0.5">
      <c r="A2" s="30"/>
      <c r="B2" s="15" t="str">
        <f>"Base Year +"&amp;IF(SETTINGS!C15=1,SETTINGS!C16,"0")&amp;" years: First Payments (000)"</f>
        <v>Base Year +0 years: First Payments (000)</v>
      </c>
      <c r="C2" s="16"/>
      <c r="D2" s="16"/>
      <c r="E2" s="17"/>
      <c r="F2" s="30"/>
      <c r="G2" s="30"/>
      <c r="H2" s="30"/>
    </row>
    <row r="3" spans="1:8" ht="23.25" x14ac:dyDescent="0.35">
      <c r="A3" s="30"/>
      <c r="B3" s="18"/>
      <c r="C3" s="69" t="str">
        <f>IF(SETTINGS!D10="HQW","High Quarter Wages","ERROR")</f>
        <v>High Quarter Wages</v>
      </c>
      <c r="D3" s="69"/>
      <c r="E3" s="70"/>
      <c r="F3" s="30"/>
      <c r="G3" s="31" t="s">
        <v>25</v>
      </c>
      <c r="H3" s="30"/>
    </row>
    <row r="4" spans="1:8" ht="24" thickBot="1" x14ac:dyDescent="0.4">
      <c r="A4" s="30"/>
      <c r="B4" s="19" t="str">
        <f>IF(SETTINGS!D11="BPW","Base Period Wages","ERROR")</f>
        <v>Base Period Wages</v>
      </c>
      <c r="C4" s="22">
        <f>IF(SETTINGS!$C$15=1,SETTINGS!C22*(1+SETTINGS!$C$18)^SETTINGS!$C$16,SETTINGS!C22)</f>
        <v>2500</v>
      </c>
      <c r="D4" s="22">
        <f>IF(SETTINGS!$C$15=1,SETTINGS!D22*(1+SETTINGS!$C$18)^SETTINGS!$C$16,SETTINGS!D22)</f>
        <v>6500</v>
      </c>
      <c r="E4" s="32">
        <f>IF(SETTINGS!$C$15=1,SETTINGS!E22*(1+SETTINGS!$C$18)^SETTINGS!$C$16,SETTINGS!E22)</f>
        <v>10500</v>
      </c>
      <c r="F4" s="30"/>
      <c r="G4" s="33" t="s">
        <v>26</v>
      </c>
      <c r="H4" s="30"/>
    </row>
    <row r="5" spans="1:8" ht="21" x14ac:dyDescent="0.35">
      <c r="A5" s="30"/>
      <c r="B5" s="22">
        <f>IF(SETTINGS!$C$15=1,SETTINGS!B23*(1+SETTINGS!$C$18)^SETTINGS!$C$16,SETTINGS!B23)</f>
        <v>6500</v>
      </c>
      <c r="C5" s="34">
        <f>IF(SETTINGS!C23&gt;0,SETTINGS!C23,"-")</f>
        <v>80</v>
      </c>
      <c r="D5" s="34">
        <f>IF(SETTINGS!D23&gt;0,SETTINGS!D23,"-")</f>
        <v>50</v>
      </c>
      <c r="E5" s="34" t="str">
        <f>IF(SETTINGS!E23&gt;0,SETTINGS!E23,"-")</f>
        <v>-</v>
      </c>
      <c r="F5" s="30"/>
      <c r="G5" s="35">
        <f>IF(B$4="ERROR","ERROR",LEFT(SETTINGS!C$11,1)/RIGHT(SETTINGS!C$11,1)*B5)</f>
        <v>2166.6666666666665</v>
      </c>
      <c r="H5" s="30"/>
    </row>
    <row r="6" spans="1:8" ht="21" x14ac:dyDescent="0.35">
      <c r="A6" s="30"/>
      <c r="B6" s="22">
        <f>IF(SETTINGS!$C$15=1,SETTINGS!B24*(1+SETTINGS!$C$18)^SETTINGS!$C$16,SETTINGS!B24)</f>
        <v>12500</v>
      </c>
      <c r="C6" s="34" t="str">
        <f>IF(SETTINGS!C24&gt;0,SETTINGS!C24,"-")</f>
        <v>-</v>
      </c>
      <c r="D6" s="34">
        <f>IF(SETTINGS!D24&gt;0,SETTINGS!D24,"-")</f>
        <v>60</v>
      </c>
      <c r="E6" s="34">
        <f>IF(SETTINGS!E24&gt;0,SETTINGS!E24,"-")</f>
        <v>20</v>
      </c>
      <c r="F6" s="30"/>
      <c r="G6" s="35">
        <f>IF(B$4="ERROR","ERROR",LEFT(SETTINGS!C$11,1)/RIGHT(SETTINGS!C$11,1)*B6)</f>
        <v>4166.6666666666661</v>
      </c>
      <c r="H6" s="30"/>
    </row>
    <row r="7" spans="1:8" ht="21" x14ac:dyDescent="0.35">
      <c r="A7" s="30"/>
      <c r="B7" s="22">
        <f>IF(SETTINGS!$C$15=1,SETTINGS!B25*(1+SETTINGS!$C$18)^SETTINGS!$C$16,SETTINGS!B25)</f>
        <v>19000</v>
      </c>
      <c r="C7" s="34" t="str">
        <f>IF(SETTINGS!C25&gt;0,SETTINGS!C25,"-")</f>
        <v>-</v>
      </c>
      <c r="D7" s="34">
        <f>IF(SETTINGS!D25&gt;0,SETTINGS!D25,"-")</f>
        <v>40</v>
      </c>
      <c r="E7" s="34">
        <f>IF(SETTINGS!E25&gt;0,SETTINGS!E25,"-")</f>
        <v>30</v>
      </c>
      <c r="F7" s="30"/>
      <c r="G7" s="35">
        <f>IF(B$4="ERROR","ERROR",LEFT(SETTINGS!C$11,1)/RIGHT(SETTINGS!C$11,1)*B7)</f>
        <v>6333.333333333333</v>
      </c>
      <c r="H7" s="30"/>
    </row>
    <row r="8" spans="1:8" ht="21" x14ac:dyDescent="0.35">
      <c r="A8" s="30"/>
      <c r="B8" s="22">
        <f>IF(SETTINGS!$C$15=1,SETTINGS!B26*(1+SETTINGS!$C$18)^SETTINGS!$C$16,SETTINGS!B26)</f>
        <v>27000</v>
      </c>
      <c r="C8" s="34" t="str">
        <f>IF(SETTINGS!C26&gt;0,SETTINGS!C26,"-")</f>
        <v>-</v>
      </c>
      <c r="D8" s="34" t="str">
        <f>IF(SETTINGS!D26&gt;0,SETTINGS!D26,"-")</f>
        <v>-</v>
      </c>
      <c r="E8" s="34">
        <f>IF(SETTINGS!E26&gt;0,SETTINGS!E26,"-")</f>
        <v>50</v>
      </c>
      <c r="F8" s="30"/>
      <c r="G8" s="35">
        <f>IF(B$4="ERROR","ERROR",LEFT(SETTINGS!C$11,1)/RIGHT(SETTINGS!C$11,1)*B8)</f>
        <v>9000</v>
      </c>
      <c r="H8" s="30"/>
    </row>
    <row r="9" spans="1:8" ht="21.75" thickBot="1" x14ac:dyDescent="0.4">
      <c r="A9" s="30"/>
      <c r="B9" s="27">
        <f>IF(SETTINGS!$C$15=1,SETTINGS!B27*(1+SETTINGS!$C$18)^SETTINGS!$C$16,SETTINGS!B27)</f>
        <v>36000</v>
      </c>
      <c r="C9" s="34" t="str">
        <f>IF(SETTINGS!C27&gt;0,SETTINGS!C27,"-")</f>
        <v>-</v>
      </c>
      <c r="D9" s="34" t="str">
        <f>IF(SETTINGS!D27&gt;0,SETTINGS!D27,"-")</f>
        <v>-</v>
      </c>
      <c r="E9" s="34">
        <f>IF(SETTINGS!E27&gt;0,SETTINGS!E27,"-")</f>
        <v>80</v>
      </c>
      <c r="F9" s="30"/>
      <c r="G9" s="35">
        <f>IF(B$4="ERROR","ERROR",LEFT(SETTINGS!C$11,1)/RIGHT(SETTINGS!C$11,1)*B9)</f>
        <v>12000</v>
      </c>
      <c r="H9" s="30"/>
    </row>
    <row r="10" spans="1:8" ht="15.75" thickBot="1" x14ac:dyDescent="0.3">
      <c r="A10" s="30"/>
      <c r="B10" s="30"/>
      <c r="C10" s="30"/>
      <c r="D10" s="30"/>
      <c r="E10" s="30"/>
      <c r="F10" s="30"/>
      <c r="G10" s="30"/>
      <c r="H10" s="30"/>
    </row>
    <row r="11" spans="1:8" ht="24" thickBot="1" x14ac:dyDescent="0.4">
      <c r="A11" s="30"/>
      <c r="B11" s="36" t="s">
        <v>14</v>
      </c>
      <c r="C11" s="37">
        <f>IF($C3="ERROR","ERROR",MIN(LEFT(SETTINGS!$C10,1)/RIGHT(SETTINGS!$C10,2)*C4,$C14))</f>
        <v>96.15384615384616</v>
      </c>
      <c r="D11" s="37">
        <f>IF($C3="ERROR","ERROR",MIN(LEFT(SETTINGS!$C10,1)/RIGHT(SETTINGS!$C10,2)*D4,$C14))</f>
        <v>150</v>
      </c>
      <c r="E11" s="37">
        <f>IF($C3="ERROR","ERROR",MIN(LEFT(SETTINGS!$C10,1)/RIGHT(SETTINGS!$C10,2)*E4,$C14))</f>
        <v>150</v>
      </c>
      <c r="F11" s="30"/>
      <c r="G11" s="30"/>
      <c r="H11" s="30"/>
    </row>
    <row r="12" spans="1:8" x14ac:dyDescent="0.25">
      <c r="A12" s="30"/>
      <c r="B12" s="30"/>
      <c r="C12" s="38" t="str">
        <f>IF(C11&gt;$C14,"ABOVE MAX WBA","")</f>
        <v/>
      </c>
      <c r="D12" s="38" t="str">
        <f>IF(D11&gt;$C14,"ABOVE MAX WBA","")</f>
        <v/>
      </c>
      <c r="E12" s="38" t="str">
        <f>IF(E11&gt;$C14,"ABOVE MAX WBA","")</f>
        <v/>
      </c>
      <c r="F12" s="30"/>
      <c r="G12" s="30"/>
      <c r="H12" s="30"/>
    </row>
    <row r="13" spans="1:8" ht="15.75" thickBot="1" x14ac:dyDescent="0.3"/>
    <row r="14" spans="1:8" ht="21.75" thickBot="1" x14ac:dyDescent="0.4">
      <c r="B14" s="8" t="s">
        <v>27</v>
      </c>
      <c r="C14" s="39">
        <f>MROUND(IF(SETTINGS!C15=1,SETTINGS!C4*(1+SETTINGS!C18)^SETTINGS!C16,SETTINGS!C4),5)</f>
        <v>150</v>
      </c>
    </row>
    <row r="15" spans="1:8" x14ac:dyDescent="0.25">
      <c r="E15" s="86"/>
    </row>
    <row r="17" spans="2:4" x14ac:dyDescent="0.25">
      <c r="B17" s="46" t="s">
        <v>28</v>
      </c>
      <c r="C17" s="85" t="str">
        <f>SETTINGS!C10&amp;" * "&amp;SETTINGS!D10</f>
        <v>1/26 * HQW</v>
      </c>
    </row>
    <row r="18" spans="2:4" x14ac:dyDescent="0.25">
      <c r="B18" s="46" t="s">
        <v>29</v>
      </c>
      <c r="C18" s="85" t="str">
        <f>SETTINGS!C11&amp;" * "&amp;SETTINGS!D11</f>
        <v>1/3 * BPW</v>
      </c>
    </row>
    <row r="22" spans="2:4" x14ac:dyDescent="0.25">
      <c r="C22" s="83"/>
      <c r="D22" s="83"/>
    </row>
    <row r="23" spans="2:4" x14ac:dyDescent="0.25">
      <c r="C23" s="84"/>
    </row>
  </sheetData>
  <mergeCells count="1">
    <mergeCell ref="C3:E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="85" zoomScaleNormal="85" workbookViewId="0"/>
  </sheetViews>
  <sheetFormatPr defaultRowHeight="15" x14ac:dyDescent="0.25"/>
  <cols>
    <col min="1" max="1" width="3.5703125" customWidth="1"/>
    <col min="2" max="2" width="32.28515625" customWidth="1"/>
    <col min="3" max="5" width="18" customWidth="1"/>
    <col min="7" max="7" width="18.42578125" bestFit="1" customWidth="1"/>
    <col min="8" max="8" width="4" customWidth="1"/>
  </cols>
  <sheetData>
    <row r="1" spans="1:8" ht="15.75" thickBot="1" x14ac:dyDescent="0.3">
      <c r="A1" s="30"/>
      <c r="B1" s="30"/>
      <c r="C1" s="30"/>
      <c r="D1" s="30"/>
      <c r="E1" s="30"/>
      <c r="F1" s="30"/>
      <c r="G1" s="30"/>
      <c r="H1" s="30"/>
    </row>
    <row r="2" spans="1:8" ht="29.25" thickBot="1" x14ac:dyDescent="0.5">
      <c r="A2" s="30"/>
      <c r="B2" s="15" t="str">
        <f>"Base Year +"&amp;IF(SETTINGS!C15=1,SETTINGS!C16,"0")&amp;" years: Potential Duration (000)"</f>
        <v>Base Year +0 years: Potential Duration (000)</v>
      </c>
      <c r="C2" s="16"/>
      <c r="D2" s="16"/>
      <c r="E2" s="17"/>
      <c r="F2" s="30"/>
      <c r="G2" s="30"/>
      <c r="H2" s="30"/>
    </row>
    <row r="3" spans="1:8" ht="23.25" x14ac:dyDescent="0.35">
      <c r="A3" s="30"/>
      <c r="B3" s="40"/>
      <c r="C3" s="71" t="s">
        <v>19</v>
      </c>
      <c r="D3" s="71"/>
      <c r="E3" s="72"/>
      <c r="F3" s="30"/>
      <c r="G3" s="31" t="s">
        <v>25</v>
      </c>
      <c r="H3" s="30"/>
    </row>
    <row r="4" spans="1:8" ht="24" thickBot="1" x14ac:dyDescent="0.4">
      <c r="A4" s="30"/>
      <c r="B4" s="19" t="s">
        <v>21</v>
      </c>
      <c r="C4" s="22">
        <f>IF(SETTINGS!$C$15=1,SETTINGS!C22*(1+SETTINGS!$C$18)^SETTINGS!$C$16,SETTINGS!C22)</f>
        <v>2500</v>
      </c>
      <c r="D4" s="22">
        <f>IF(SETTINGS!$C$15=1,SETTINGS!D22*(1+SETTINGS!$C$18)^SETTINGS!$C$16,SETTINGS!D22)</f>
        <v>6500</v>
      </c>
      <c r="E4" s="32">
        <f>IF(SETTINGS!$C$15=1,SETTINGS!E22*(1+SETTINGS!$C$18)^SETTINGS!$C$16,SETTINGS!E22)</f>
        <v>10500</v>
      </c>
      <c r="F4" s="30"/>
      <c r="G4" s="33" t="s">
        <v>26</v>
      </c>
      <c r="H4" s="30"/>
    </row>
    <row r="5" spans="1:8" ht="21" x14ac:dyDescent="0.35">
      <c r="A5" s="30"/>
      <c r="B5" s="22">
        <f>IF(SETTINGS!$C$15=1,SETTINGS!B23*(1+SETTINGS!$C$18)^SETTINGS!$C$16,SETTINGS!B23)</f>
        <v>6500</v>
      </c>
      <c r="C5" s="41">
        <f>IF(SETTINGS!C23&gt;0,ROUND(IF($G5/C$11&lt;=SETTINGS!$C$5,$G5/C$11,SETTINGS!$C$5),2),"-")</f>
        <v>22.53</v>
      </c>
      <c r="D5" s="41">
        <f>IF(SETTINGS!D23&gt;0,ROUND(IF($G5/D$11&lt;=SETTINGS!$C$5,$G5/D$11,SETTINGS!$C$5),2),"-")</f>
        <v>14.44</v>
      </c>
      <c r="E5" s="41" t="str">
        <f>IF(SETTINGS!E23&gt;0,ROUND(IF($G5/E$11&lt;=SETTINGS!$C$5,$G5/E$11,SETTINGS!$C$5),2),"-")</f>
        <v>-</v>
      </c>
      <c r="F5" s="30"/>
      <c r="G5" s="42">
        <f>'FIRST PAYMENTS'!G5</f>
        <v>2166.6666666666665</v>
      </c>
      <c r="H5" s="30"/>
    </row>
    <row r="6" spans="1:8" ht="21" x14ac:dyDescent="0.35">
      <c r="A6" s="30"/>
      <c r="B6" s="22">
        <f>IF(SETTINGS!$C$15=1,SETTINGS!B24*(1+SETTINGS!$C$18)^SETTINGS!$C$16,SETTINGS!B24)</f>
        <v>12500</v>
      </c>
      <c r="C6" s="41" t="str">
        <f>IF(SETTINGS!C24&gt;0,ROUND(IF($G6/C$11&lt;=SETTINGS!$C$5,$G6/C$11,SETTINGS!$C$5),2),"-")</f>
        <v>-</v>
      </c>
      <c r="D6" s="41">
        <f>IF(SETTINGS!D24&gt;0,ROUND(IF($G6/D$11&lt;=SETTINGS!$C$5,$G6/D$11,SETTINGS!$C$5),2),"-")</f>
        <v>26</v>
      </c>
      <c r="E6" s="41">
        <f>IF(SETTINGS!E24&gt;0,ROUND(IF($G6/E$11&lt;=SETTINGS!$C$5,$G6/E$11,SETTINGS!$C$5),2),"-")</f>
        <v>26</v>
      </c>
      <c r="F6" s="30"/>
      <c r="G6" s="42">
        <f>'FIRST PAYMENTS'!G6</f>
        <v>4166.6666666666661</v>
      </c>
      <c r="H6" s="30"/>
    </row>
    <row r="7" spans="1:8" ht="21" x14ac:dyDescent="0.35">
      <c r="A7" s="30"/>
      <c r="B7" s="22">
        <f>IF(SETTINGS!$C$15=1,SETTINGS!B25*(1+SETTINGS!$C$18)^SETTINGS!$C$16,SETTINGS!B25)</f>
        <v>19000</v>
      </c>
      <c r="C7" s="41" t="str">
        <f>IF(SETTINGS!C25&gt;0,ROUND(IF($G7/C$11&lt;=SETTINGS!$C$5,$G7/C$11,SETTINGS!$C$5),2),"-")</f>
        <v>-</v>
      </c>
      <c r="D7" s="41">
        <f>IF(SETTINGS!D25&gt;0,ROUND(IF($G7/D$11&lt;=SETTINGS!$C$5,$G7/D$11,SETTINGS!$C$5),2),"-")</f>
        <v>26</v>
      </c>
      <c r="E7" s="41">
        <f>IF(SETTINGS!E25&gt;0,ROUND(IF($G7/E$11&lt;=SETTINGS!$C$5,$G7/E$11,SETTINGS!$C$5),2),"-")</f>
        <v>26</v>
      </c>
      <c r="F7" s="30"/>
      <c r="G7" s="42">
        <f>'FIRST PAYMENTS'!G7</f>
        <v>6333.333333333333</v>
      </c>
      <c r="H7" s="30"/>
    </row>
    <row r="8" spans="1:8" ht="21" x14ac:dyDescent="0.35">
      <c r="A8" s="30"/>
      <c r="B8" s="22">
        <f>IF(SETTINGS!$C$15=1,SETTINGS!B26*(1+SETTINGS!$C$18)^SETTINGS!$C$16,SETTINGS!B26)</f>
        <v>27000</v>
      </c>
      <c r="C8" s="41" t="str">
        <f>IF(SETTINGS!C26&gt;0,ROUND(IF($G8/C$11&lt;=SETTINGS!$C$5,$G8/C$11,SETTINGS!$C$5),2),"-")</f>
        <v>-</v>
      </c>
      <c r="D8" s="41" t="str">
        <f>IF(SETTINGS!D26&gt;0,ROUND(IF($G8/D$11&lt;=SETTINGS!$C$5,$G8/D$11,SETTINGS!$C$5),2),"-")</f>
        <v>-</v>
      </c>
      <c r="E8" s="41">
        <f>IF(SETTINGS!E26&gt;0,ROUND(IF($G8/E$11&lt;=SETTINGS!$C$5,$G8/E$11,SETTINGS!$C$5),2),"-")</f>
        <v>26</v>
      </c>
      <c r="F8" s="30"/>
      <c r="G8" s="42">
        <f>'FIRST PAYMENTS'!G8</f>
        <v>9000</v>
      </c>
      <c r="H8" s="30"/>
    </row>
    <row r="9" spans="1:8" ht="21.75" thickBot="1" x14ac:dyDescent="0.4">
      <c r="A9" s="30"/>
      <c r="B9" s="27">
        <f>IF(SETTINGS!$C$15=1,SETTINGS!B27*(1+SETTINGS!$C$18)^SETTINGS!$C$16,SETTINGS!B27)</f>
        <v>36000</v>
      </c>
      <c r="C9" s="41" t="str">
        <f>IF(SETTINGS!C27&gt;0,ROUND(IF($G9/C$11&lt;=SETTINGS!$C$5,$G9/C$11,SETTINGS!$C$5),2),"-")</f>
        <v>-</v>
      </c>
      <c r="D9" s="41" t="str">
        <f>IF(SETTINGS!D27&gt;0,ROUND(IF($G9/D$11&lt;=SETTINGS!$C$5,$G9/D$11,SETTINGS!$C$5),2),"-")</f>
        <v>-</v>
      </c>
      <c r="E9" s="41">
        <f>IF(SETTINGS!E27&gt;0,ROUND(IF($G9/E$11&lt;=SETTINGS!$C$5,$G9/E$11,SETTINGS!$C$5),2),"-")</f>
        <v>26</v>
      </c>
      <c r="F9" s="30"/>
      <c r="G9" s="42">
        <f>'FIRST PAYMENTS'!G9</f>
        <v>12000</v>
      </c>
      <c r="H9" s="30"/>
    </row>
    <row r="10" spans="1:8" ht="15.75" thickBot="1" x14ac:dyDescent="0.3">
      <c r="A10" s="30"/>
      <c r="B10" s="30"/>
      <c r="C10" s="30"/>
      <c r="D10" s="30"/>
      <c r="E10" s="30"/>
      <c r="F10" s="30"/>
      <c r="G10" s="30"/>
      <c r="H10" s="30"/>
    </row>
    <row r="11" spans="1:8" ht="24" thickBot="1" x14ac:dyDescent="0.4">
      <c r="A11" s="30"/>
      <c r="B11" s="36" t="s">
        <v>14</v>
      </c>
      <c r="C11" s="39">
        <f>'FIRST PAYMENTS'!C11</f>
        <v>96.15384615384616</v>
      </c>
      <c r="D11" s="39">
        <f>'FIRST PAYMENTS'!D11</f>
        <v>150</v>
      </c>
      <c r="E11" s="39">
        <f>'FIRST PAYMENTS'!E11</f>
        <v>150</v>
      </c>
      <c r="F11" s="30"/>
      <c r="G11" s="30"/>
      <c r="H11" s="30"/>
    </row>
    <row r="12" spans="1:8" x14ac:dyDescent="0.25">
      <c r="A12" s="30"/>
      <c r="B12" s="30"/>
      <c r="C12" s="43"/>
      <c r="D12" s="30"/>
      <c r="E12" s="30"/>
      <c r="F12" s="30"/>
      <c r="G12" s="30"/>
      <c r="H12" s="30"/>
    </row>
  </sheetData>
  <mergeCells count="1">
    <mergeCell ref="C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85" zoomScaleNormal="85" workbookViewId="0"/>
  </sheetViews>
  <sheetFormatPr defaultRowHeight="15" x14ac:dyDescent="0.25"/>
  <cols>
    <col min="1" max="1" width="3.5703125" customWidth="1"/>
    <col min="2" max="2" width="34.28515625" customWidth="1"/>
    <col min="3" max="5" width="18" customWidth="1"/>
    <col min="7" max="7" width="18.42578125" bestFit="1" customWidth="1"/>
    <col min="8" max="8" width="4" customWidth="1"/>
  </cols>
  <sheetData>
    <row r="1" spans="1:8" ht="15.75" thickBot="1" x14ac:dyDescent="0.3">
      <c r="A1" s="30"/>
      <c r="B1" s="30"/>
      <c r="C1" s="30"/>
      <c r="D1" s="30"/>
      <c r="E1" s="30"/>
      <c r="F1" s="30"/>
      <c r="G1" s="30"/>
      <c r="H1" s="30"/>
    </row>
    <row r="2" spans="1:8" ht="29.25" thickBot="1" x14ac:dyDescent="0.5">
      <c r="A2" s="30"/>
      <c r="B2" s="15" t="str">
        <f>"Base Year +"&amp;IF(SETTINGS!C15=1,SETTINGS!C16,"0")&amp;" years: Average Duration (000)"</f>
        <v>Base Year +0 years: Average Duration (000)</v>
      </c>
      <c r="C2" s="16"/>
      <c r="D2" s="16"/>
      <c r="E2" s="17"/>
      <c r="F2" s="30"/>
      <c r="G2" s="30"/>
      <c r="H2" s="30"/>
    </row>
    <row r="3" spans="1:8" ht="23.25" x14ac:dyDescent="0.35">
      <c r="A3" s="30"/>
      <c r="B3" s="40"/>
      <c r="C3" s="71" t="s">
        <v>19</v>
      </c>
      <c r="D3" s="71"/>
      <c r="E3" s="72"/>
      <c r="F3" s="30"/>
      <c r="G3" s="31" t="s">
        <v>25</v>
      </c>
      <c r="H3" s="30"/>
    </row>
    <row r="4" spans="1:8" ht="24" thickBot="1" x14ac:dyDescent="0.4">
      <c r="A4" s="30"/>
      <c r="B4" s="19" t="s">
        <v>21</v>
      </c>
      <c r="C4" s="53">
        <f>IF(SETTINGS!$C$15=1,SETTINGS!C22*(1+SETTINGS!$C$18)^SETTINGS!$C$16,SETTINGS!C22)</f>
        <v>2500</v>
      </c>
      <c r="D4" s="53">
        <f>IF(SETTINGS!$C$15=1,SETTINGS!D22*(1+SETTINGS!$C$18)^SETTINGS!$C$16,SETTINGS!D22)</f>
        <v>6500</v>
      </c>
      <c r="E4" s="54">
        <f>IF(SETTINGS!$C$15=1,SETTINGS!E22*(1+SETTINGS!$C$18)^SETTINGS!$C$16,SETTINGS!E22)</f>
        <v>10500</v>
      </c>
      <c r="F4" s="30"/>
      <c r="G4" s="33" t="s">
        <v>26</v>
      </c>
      <c r="H4" s="30"/>
    </row>
    <row r="5" spans="1:8" ht="21" x14ac:dyDescent="0.35">
      <c r="A5" s="30"/>
      <c r="B5" s="51">
        <f>IF(SETTINGS!$C$15=1,SETTINGS!B23*(1+SETTINGS!$C$18)^SETTINGS!$C$16,SETTINGS!B23)</f>
        <v>6500</v>
      </c>
      <c r="C5" s="55">
        <f>IF(SETTINGS!C23&gt;0,ROUND((1-$C$14^'POTENTIAL DURATION'!C5)/(1-$C$14),1),"-")</f>
        <v>18.3</v>
      </c>
      <c r="D5" s="56">
        <f>IF(SETTINGS!D23&gt;0,ROUND((1-$C$14^'POTENTIAL DURATION'!D5)/(1-$C$14),1),"-")</f>
        <v>12.7</v>
      </c>
      <c r="E5" s="57" t="str">
        <f>IF(SETTINGS!E23&gt;0,ROUND((1-$C$14^'POTENTIAL DURATION'!E5)/(1-$C$14),1),"-")</f>
        <v>-</v>
      </c>
      <c r="F5" s="30"/>
      <c r="G5" s="42">
        <f>'FIRST PAYMENTS'!G5</f>
        <v>2166.6666666666665</v>
      </c>
      <c r="H5" s="30"/>
    </row>
    <row r="6" spans="1:8" ht="21" x14ac:dyDescent="0.35">
      <c r="A6" s="30"/>
      <c r="B6" s="51">
        <f>IF(SETTINGS!$C$15=1,SETTINGS!B24*(1+SETTINGS!$C$18)^SETTINGS!$C$16,SETTINGS!B24)</f>
        <v>12500</v>
      </c>
      <c r="C6" s="58" t="str">
        <f>IF(SETTINGS!C24&gt;0,ROUND((1-$C$14^'POTENTIAL DURATION'!C6)/(1-$C$14),1),"-")</f>
        <v>-</v>
      </c>
      <c r="D6" s="41">
        <f>IF(SETTINGS!D24&gt;0,ROUND((1-$C$14^'POTENTIAL DURATION'!D6)/(1-$C$14),1),"-")</f>
        <v>20.399999999999999</v>
      </c>
      <c r="E6" s="59">
        <f>IF(SETTINGS!E24&gt;0,ROUND((1-$C$14^'POTENTIAL DURATION'!E6)/(1-$C$14),1),"-")</f>
        <v>20.399999999999999</v>
      </c>
      <c r="F6" s="30"/>
      <c r="G6" s="42">
        <f>'FIRST PAYMENTS'!G6</f>
        <v>4166.6666666666661</v>
      </c>
      <c r="H6" s="30"/>
    </row>
    <row r="7" spans="1:8" ht="21" x14ac:dyDescent="0.35">
      <c r="A7" s="30"/>
      <c r="B7" s="51">
        <f>IF(SETTINGS!$C$15=1,SETTINGS!B25*(1+SETTINGS!$C$18)^SETTINGS!$C$16,SETTINGS!B25)</f>
        <v>19000</v>
      </c>
      <c r="C7" s="58" t="str">
        <f>IF(SETTINGS!C25&gt;0,ROUND((1-$C$14^'POTENTIAL DURATION'!C7)/(1-$C$14),1),"-")</f>
        <v>-</v>
      </c>
      <c r="D7" s="41">
        <f>IF(SETTINGS!D25&gt;0,ROUND((1-$C$14^'POTENTIAL DURATION'!D7)/(1-$C$14),1),"-")</f>
        <v>20.399999999999999</v>
      </c>
      <c r="E7" s="59">
        <f>IF(SETTINGS!E25&gt;0,ROUND((1-$C$14^'POTENTIAL DURATION'!E7)/(1-$C$14),1),"-")</f>
        <v>20.399999999999999</v>
      </c>
      <c r="F7" s="30"/>
      <c r="G7" s="42">
        <f>'FIRST PAYMENTS'!G7</f>
        <v>6333.333333333333</v>
      </c>
      <c r="H7" s="30"/>
    </row>
    <row r="8" spans="1:8" ht="21" x14ac:dyDescent="0.35">
      <c r="A8" s="30"/>
      <c r="B8" s="51">
        <f>IF(SETTINGS!$C$15=1,SETTINGS!B26*(1+SETTINGS!$C$18)^SETTINGS!$C$16,SETTINGS!B26)</f>
        <v>27000</v>
      </c>
      <c r="C8" s="58" t="str">
        <f>IF(SETTINGS!C26&gt;0,ROUND((1-$C$14^'POTENTIAL DURATION'!C8)/(1-$C$14),1),"-")</f>
        <v>-</v>
      </c>
      <c r="D8" s="41" t="str">
        <f>IF(SETTINGS!D26&gt;0,ROUND((1-$C$14^'POTENTIAL DURATION'!D8)/(1-$C$14),1),"-")</f>
        <v>-</v>
      </c>
      <c r="E8" s="59">
        <f>IF(SETTINGS!E26&gt;0,ROUND((1-$C$14^'POTENTIAL DURATION'!E8)/(1-$C$14),1),"-")</f>
        <v>20.399999999999999</v>
      </c>
      <c r="F8" s="30"/>
      <c r="G8" s="42">
        <f>'FIRST PAYMENTS'!G8</f>
        <v>9000</v>
      </c>
      <c r="H8" s="30"/>
    </row>
    <row r="9" spans="1:8" ht="21.75" thickBot="1" x14ac:dyDescent="0.4">
      <c r="A9" s="30"/>
      <c r="B9" s="52">
        <f>IF(SETTINGS!$C$15=1,SETTINGS!B27*(1+SETTINGS!$C$18)^SETTINGS!$C$16,SETTINGS!B27)</f>
        <v>36000</v>
      </c>
      <c r="C9" s="60" t="str">
        <f>IF(SETTINGS!C27&gt;0,ROUND((1-$C$14^'POTENTIAL DURATION'!C9)/(1-$C$14),1),"-")</f>
        <v>-</v>
      </c>
      <c r="D9" s="61" t="str">
        <f>IF(SETTINGS!D27&gt;0,ROUND((1-$C$14^'POTENTIAL DURATION'!D9)/(1-$C$14),1),"-")</f>
        <v>-</v>
      </c>
      <c r="E9" s="62">
        <f>IF(SETTINGS!E27&gt;0,ROUND((1-$C$14^'POTENTIAL DURATION'!E9)/(1-$C$14),1),"-")</f>
        <v>20.399999999999999</v>
      </c>
      <c r="F9" s="30"/>
      <c r="G9" s="42">
        <f>'FIRST PAYMENTS'!G9</f>
        <v>12000</v>
      </c>
      <c r="H9" s="30"/>
    </row>
    <row r="10" spans="1:8" ht="15.75" thickBot="1" x14ac:dyDescent="0.3">
      <c r="A10" s="30"/>
      <c r="B10" s="30"/>
      <c r="C10" s="30"/>
      <c r="D10" s="30"/>
      <c r="E10" s="30"/>
      <c r="F10" s="30"/>
      <c r="G10" s="30"/>
      <c r="H10" s="30"/>
    </row>
    <row r="11" spans="1:8" ht="24" thickBot="1" x14ac:dyDescent="0.4">
      <c r="A11" s="30"/>
      <c r="B11" s="36" t="s">
        <v>14</v>
      </c>
      <c r="C11" s="39">
        <f>'FIRST PAYMENTS'!C11</f>
        <v>96.15384615384616</v>
      </c>
      <c r="D11" s="39">
        <f>'FIRST PAYMENTS'!D11</f>
        <v>150</v>
      </c>
      <c r="E11" s="39">
        <f>'FIRST PAYMENTS'!E11</f>
        <v>150</v>
      </c>
      <c r="F11" s="30"/>
      <c r="G11" s="30"/>
      <c r="H11" s="30"/>
    </row>
    <row r="12" spans="1:8" x14ac:dyDescent="0.25">
      <c r="A12" s="30"/>
      <c r="B12" s="30"/>
      <c r="C12" s="43"/>
      <c r="D12" s="30"/>
      <c r="E12" s="30"/>
      <c r="F12" s="30"/>
      <c r="G12" s="30"/>
      <c r="H12" s="30"/>
    </row>
    <row r="13" spans="1:8" ht="15.75" thickBot="1" x14ac:dyDescent="0.3"/>
    <row r="14" spans="1:8" ht="21.75" thickBot="1" x14ac:dyDescent="0.4">
      <c r="B14" s="8" t="s">
        <v>33</v>
      </c>
      <c r="C14" s="45">
        <f>SETTINGS!C13</f>
        <v>0.98</v>
      </c>
    </row>
    <row r="16" spans="1:8" ht="21.75" x14ac:dyDescent="0.35">
      <c r="B16" s="50" t="s">
        <v>31</v>
      </c>
      <c r="C16" s="47" t="s">
        <v>32</v>
      </c>
    </row>
  </sheetData>
  <mergeCells count="1">
    <mergeCell ref="C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="85" zoomScaleNormal="85" workbookViewId="0"/>
  </sheetViews>
  <sheetFormatPr defaultRowHeight="15" x14ac:dyDescent="0.25"/>
  <cols>
    <col min="1" max="1" width="3.5703125" customWidth="1"/>
    <col min="2" max="2" width="32.28515625" customWidth="1"/>
    <col min="3" max="5" width="18" customWidth="1"/>
    <col min="7" max="7" width="18.42578125" bestFit="1" customWidth="1"/>
    <col min="8" max="8" width="4" customWidth="1"/>
  </cols>
  <sheetData>
    <row r="1" spans="1:8" ht="15.75" thickBot="1" x14ac:dyDescent="0.3">
      <c r="A1" s="30"/>
      <c r="B1" s="30"/>
      <c r="C1" s="30"/>
      <c r="D1" s="30"/>
      <c r="E1" s="30"/>
      <c r="F1" s="30"/>
      <c r="G1" s="30"/>
      <c r="H1" s="30"/>
    </row>
    <row r="2" spans="1:8" ht="29.25" thickBot="1" x14ac:dyDescent="0.5">
      <c r="A2" s="30"/>
      <c r="B2" s="15" t="str">
        <f>"Base Year +"&amp;IF(SETTINGS!C15=1,SETTINGS!C16,"0")&amp;" years: WBA (000)"</f>
        <v>Base Year +0 years: WBA (000)</v>
      </c>
      <c r="C2" s="16"/>
      <c r="D2" s="16"/>
      <c r="E2" s="17"/>
      <c r="F2" s="30"/>
      <c r="G2" s="30"/>
      <c r="H2" s="30"/>
    </row>
    <row r="3" spans="1:8" ht="23.25" x14ac:dyDescent="0.35">
      <c r="A3" s="30"/>
      <c r="B3" s="40"/>
      <c r="C3" s="71" t="s">
        <v>19</v>
      </c>
      <c r="D3" s="71"/>
      <c r="E3" s="72"/>
      <c r="F3" s="30"/>
      <c r="G3" s="31" t="s">
        <v>25</v>
      </c>
      <c r="H3" s="30"/>
    </row>
    <row r="4" spans="1:8" ht="24" thickBot="1" x14ac:dyDescent="0.4">
      <c r="A4" s="30"/>
      <c r="B4" s="19" t="s">
        <v>21</v>
      </c>
      <c r="C4" s="22">
        <f>IF(SETTINGS!$C$15=1,SETTINGS!C22*(1+SETTINGS!$C$18)^SETTINGS!$C$16,SETTINGS!C22)</f>
        <v>2500</v>
      </c>
      <c r="D4" s="22">
        <f>IF(SETTINGS!$C$15=1,SETTINGS!D22*(1+SETTINGS!$C$18)^SETTINGS!$C$16,SETTINGS!D22)</f>
        <v>6500</v>
      </c>
      <c r="E4" s="32">
        <f>IF(SETTINGS!$C$15=1,SETTINGS!E22*(1+SETTINGS!$C$18)^SETTINGS!$C$16,SETTINGS!E22)</f>
        <v>10500</v>
      </c>
      <c r="F4" s="30"/>
      <c r="G4" s="33" t="s">
        <v>26</v>
      </c>
      <c r="H4" s="30"/>
    </row>
    <row r="5" spans="1:8" ht="21" x14ac:dyDescent="0.35">
      <c r="A5" s="30"/>
      <c r="B5" s="22">
        <f>IF(SETTINGS!$C$15=1,SETTINGS!B23*(1+SETTINGS!$C$18)^SETTINGS!$C$16,SETTINGS!B23)</f>
        <v>6500</v>
      </c>
      <c r="C5" s="44">
        <f>IF(SETTINGS!C23&gt;0,C$11,"-")</f>
        <v>96.15384615384616</v>
      </c>
      <c r="D5" s="44">
        <f>IF(SETTINGS!D23&gt;0,D$11,"-")</f>
        <v>150</v>
      </c>
      <c r="E5" s="44" t="str">
        <f>IF(SETTINGS!E23&gt;0,E$11,"-")</f>
        <v>-</v>
      </c>
      <c r="F5" s="30"/>
      <c r="G5" s="42">
        <f>'FIRST PAYMENTS'!G5</f>
        <v>2166.6666666666665</v>
      </c>
      <c r="H5" s="30"/>
    </row>
    <row r="6" spans="1:8" ht="21" x14ac:dyDescent="0.35">
      <c r="A6" s="30"/>
      <c r="B6" s="22">
        <f>IF(SETTINGS!$C$15=1,SETTINGS!B24*(1+SETTINGS!$C$18)^SETTINGS!$C$16,SETTINGS!B24)</f>
        <v>12500</v>
      </c>
      <c r="C6" s="44" t="str">
        <f>IF(SETTINGS!C24&gt;0,C$11,"-")</f>
        <v>-</v>
      </c>
      <c r="D6" s="44">
        <f>IF(SETTINGS!D24&gt;0,D$11,"-")</f>
        <v>150</v>
      </c>
      <c r="E6" s="44">
        <f>IF(SETTINGS!E24&gt;0,E$11,"-")</f>
        <v>150</v>
      </c>
      <c r="F6" s="30"/>
      <c r="G6" s="42">
        <f>'FIRST PAYMENTS'!G6</f>
        <v>4166.6666666666661</v>
      </c>
      <c r="H6" s="30"/>
    </row>
    <row r="7" spans="1:8" ht="21" x14ac:dyDescent="0.35">
      <c r="A7" s="30"/>
      <c r="B7" s="22">
        <f>IF(SETTINGS!$C$15=1,SETTINGS!B25*(1+SETTINGS!$C$18)^SETTINGS!$C$16,SETTINGS!B25)</f>
        <v>19000</v>
      </c>
      <c r="C7" s="44" t="str">
        <f>IF(SETTINGS!C25&gt;0,C$11,"-")</f>
        <v>-</v>
      </c>
      <c r="D7" s="44">
        <f>IF(SETTINGS!D25&gt;0,D$11,"-")</f>
        <v>150</v>
      </c>
      <c r="E7" s="44">
        <f>IF(SETTINGS!E25&gt;0,E$11,"-")</f>
        <v>150</v>
      </c>
      <c r="F7" s="30"/>
      <c r="G7" s="42">
        <f>'FIRST PAYMENTS'!G7</f>
        <v>6333.333333333333</v>
      </c>
      <c r="H7" s="30"/>
    </row>
    <row r="8" spans="1:8" ht="21" x14ac:dyDescent="0.35">
      <c r="A8" s="30"/>
      <c r="B8" s="22">
        <f>IF(SETTINGS!$C$15=1,SETTINGS!B26*(1+SETTINGS!$C$18)^SETTINGS!$C$16,SETTINGS!B26)</f>
        <v>27000</v>
      </c>
      <c r="C8" s="44" t="str">
        <f>IF(SETTINGS!C26&gt;0,C$11,"-")</f>
        <v>-</v>
      </c>
      <c r="D8" s="44" t="str">
        <f>IF(SETTINGS!D26&gt;0,D$11,"-")</f>
        <v>-</v>
      </c>
      <c r="E8" s="44">
        <f>IF(SETTINGS!E26&gt;0,E$11,"-")</f>
        <v>150</v>
      </c>
      <c r="F8" s="30"/>
      <c r="G8" s="42">
        <f>'FIRST PAYMENTS'!G8</f>
        <v>9000</v>
      </c>
      <c r="H8" s="30"/>
    </row>
    <row r="9" spans="1:8" ht="21.75" thickBot="1" x14ac:dyDescent="0.4">
      <c r="A9" s="30"/>
      <c r="B9" s="27">
        <f>IF(SETTINGS!$C$15=1,SETTINGS!B27*(1+SETTINGS!$C$18)^SETTINGS!$C$16,SETTINGS!B27)</f>
        <v>36000</v>
      </c>
      <c r="C9" s="44" t="str">
        <f>IF(SETTINGS!C27&gt;0,C$11,"-")</f>
        <v>-</v>
      </c>
      <c r="D9" s="44" t="str">
        <f>IF(SETTINGS!D27&gt;0,D$11,"-")</f>
        <v>-</v>
      </c>
      <c r="E9" s="44">
        <f>IF(SETTINGS!E27&gt;0,E$11,"-")</f>
        <v>150</v>
      </c>
      <c r="F9" s="30"/>
      <c r="G9" s="42">
        <f>'FIRST PAYMENTS'!G9</f>
        <v>12000</v>
      </c>
      <c r="H9" s="30"/>
    </row>
    <row r="10" spans="1:8" ht="15.75" thickBot="1" x14ac:dyDescent="0.3">
      <c r="A10" s="30"/>
      <c r="B10" s="30"/>
      <c r="C10" s="30"/>
      <c r="D10" s="30"/>
      <c r="E10" s="30"/>
      <c r="F10" s="30"/>
      <c r="G10" s="30"/>
      <c r="H10" s="30"/>
    </row>
    <row r="11" spans="1:8" ht="24" thickBot="1" x14ac:dyDescent="0.4">
      <c r="A11" s="30"/>
      <c r="B11" s="36" t="s">
        <v>14</v>
      </c>
      <c r="C11" s="39">
        <f>'FIRST PAYMENTS'!C11</f>
        <v>96.15384615384616</v>
      </c>
      <c r="D11" s="39">
        <f>'FIRST PAYMENTS'!D11</f>
        <v>150</v>
      </c>
      <c r="E11" s="39">
        <f>'FIRST PAYMENTS'!E11</f>
        <v>150</v>
      </c>
      <c r="F11" s="30"/>
      <c r="G11" s="30"/>
      <c r="H11" s="30"/>
    </row>
    <row r="12" spans="1:8" x14ac:dyDescent="0.25">
      <c r="A12" s="30"/>
      <c r="B12" s="30"/>
      <c r="C12" s="43"/>
      <c r="D12" s="30"/>
      <c r="E12" s="30"/>
      <c r="F12" s="30"/>
      <c r="G12" s="30"/>
      <c r="H12" s="30"/>
    </row>
  </sheetData>
  <mergeCells count="1">
    <mergeCell ref="C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85" zoomScaleNormal="85" workbookViewId="0"/>
  </sheetViews>
  <sheetFormatPr defaultRowHeight="15" x14ac:dyDescent="0.25"/>
  <cols>
    <col min="1" max="1" width="3.5703125" customWidth="1"/>
    <col min="2" max="2" width="32.28515625" customWidth="1"/>
    <col min="3" max="5" width="18" customWidth="1"/>
    <col min="7" max="7" width="18.42578125" bestFit="1" customWidth="1"/>
    <col min="8" max="8" width="4" customWidth="1"/>
  </cols>
  <sheetData>
    <row r="1" spans="1:8" ht="15.75" thickBot="1" x14ac:dyDescent="0.3">
      <c r="A1" s="30"/>
      <c r="B1" s="30"/>
      <c r="C1" s="30"/>
      <c r="D1" s="30"/>
      <c r="E1" s="30"/>
      <c r="F1" s="30"/>
      <c r="G1" s="30"/>
      <c r="H1" s="30"/>
    </row>
    <row r="2" spans="1:8" ht="29.25" thickBot="1" x14ac:dyDescent="0.5">
      <c r="A2" s="30"/>
      <c r="B2" s="15" t="str">
        <f>"Base Year +"&amp;IF(SETTINGS!C15=1,SETTINGS!C16,"0")&amp;" years: Benefits Paid (000)"</f>
        <v>Base Year +0 years: Benefits Paid (000)</v>
      </c>
      <c r="C2" s="16"/>
      <c r="D2" s="16"/>
      <c r="E2" s="17"/>
      <c r="F2" s="30"/>
      <c r="G2" s="30"/>
      <c r="H2" s="30"/>
    </row>
    <row r="3" spans="1:8" ht="23.25" x14ac:dyDescent="0.35">
      <c r="A3" s="30"/>
      <c r="B3" s="40"/>
      <c r="C3" s="71" t="s">
        <v>19</v>
      </c>
      <c r="D3" s="71"/>
      <c r="E3" s="72"/>
      <c r="F3" s="30"/>
      <c r="G3" s="31" t="s">
        <v>25</v>
      </c>
      <c r="H3" s="30"/>
    </row>
    <row r="4" spans="1:8" ht="24" thickBot="1" x14ac:dyDescent="0.4">
      <c r="A4" s="30"/>
      <c r="B4" s="19" t="s">
        <v>21</v>
      </c>
      <c r="C4" s="22">
        <f>IF(SETTINGS!$C$15=1,SETTINGS!C22*(1+SETTINGS!$C$18)^SETTINGS!$C$16,SETTINGS!C22)</f>
        <v>2500</v>
      </c>
      <c r="D4" s="22">
        <f>IF(SETTINGS!$C$15=1,SETTINGS!D22*(1+SETTINGS!$C$18)^SETTINGS!$C$16,SETTINGS!D22)</f>
        <v>6500</v>
      </c>
      <c r="E4" s="32">
        <f>IF(SETTINGS!$C$15=1,SETTINGS!E22*(1+SETTINGS!$C$18)^SETTINGS!$C$16,SETTINGS!E22)</f>
        <v>10500</v>
      </c>
      <c r="F4" s="30"/>
      <c r="G4" s="33" t="s">
        <v>26</v>
      </c>
      <c r="H4" s="30"/>
    </row>
    <row r="5" spans="1:8" ht="21" x14ac:dyDescent="0.35">
      <c r="A5" s="30"/>
      <c r="B5" s="22">
        <f>IF(SETTINGS!$C$15=1,SETTINGS!B23*(1+SETTINGS!$C$18)^SETTINGS!$C$16,SETTINGS!B23)</f>
        <v>6500</v>
      </c>
      <c r="C5" s="44">
        <f>IF(SETTINGS!C23&gt;0,ROUND('FIRST PAYMENTS'!C5*'AVERAGE DURATION'!C5*WBA!C5,0),"-")</f>
        <v>140769</v>
      </c>
      <c r="D5" s="44">
        <f>IF(SETTINGS!D23&gt;0,ROUND('FIRST PAYMENTS'!D5*'AVERAGE DURATION'!D5*WBA!D5,0),"-")</f>
        <v>95250</v>
      </c>
      <c r="E5" s="44" t="str">
        <f>IF(SETTINGS!E23&gt;0,ROUND('FIRST PAYMENTS'!E5*'AVERAGE DURATION'!E5*WBA!E5,0),"-")</f>
        <v>-</v>
      </c>
      <c r="F5" s="30"/>
      <c r="G5" s="42">
        <f>'FIRST PAYMENTS'!G5</f>
        <v>2166.6666666666665</v>
      </c>
      <c r="H5" s="30"/>
    </row>
    <row r="6" spans="1:8" ht="21" x14ac:dyDescent="0.35">
      <c r="A6" s="30"/>
      <c r="B6" s="22">
        <f>IF(SETTINGS!$C$15=1,SETTINGS!B24*(1+SETTINGS!$C$18)^SETTINGS!$C$16,SETTINGS!B24)</f>
        <v>12500</v>
      </c>
      <c r="C6" s="44" t="str">
        <f>IF(SETTINGS!C24&gt;0,ROUND('FIRST PAYMENTS'!C6*'AVERAGE DURATION'!C6*WBA!C6,0),"-")</f>
        <v>-</v>
      </c>
      <c r="D6" s="44">
        <f>IF(SETTINGS!D24&gt;0,ROUND('FIRST PAYMENTS'!D6*'AVERAGE DURATION'!D6*WBA!D6,0),"-")</f>
        <v>183600</v>
      </c>
      <c r="E6" s="44">
        <f>IF(SETTINGS!E24&gt;0,ROUND('FIRST PAYMENTS'!E6*'AVERAGE DURATION'!E6*WBA!E6,0),"-")</f>
        <v>61200</v>
      </c>
      <c r="F6" s="30"/>
      <c r="G6" s="42">
        <f>'FIRST PAYMENTS'!G6</f>
        <v>4166.6666666666661</v>
      </c>
      <c r="H6" s="30"/>
    </row>
    <row r="7" spans="1:8" ht="21" x14ac:dyDescent="0.35">
      <c r="A7" s="30"/>
      <c r="B7" s="22">
        <f>IF(SETTINGS!$C$15=1,SETTINGS!B25*(1+SETTINGS!$C$18)^SETTINGS!$C$16,SETTINGS!B25)</f>
        <v>19000</v>
      </c>
      <c r="C7" s="44" t="str">
        <f>IF(SETTINGS!C25&gt;0,ROUND('FIRST PAYMENTS'!C7*'AVERAGE DURATION'!C7*WBA!C7,0),"-")</f>
        <v>-</v>
      </c>
      <c r="D7" s="44">
        <f>IF(SETTINGS!D25&gt;0,ROUND('FIRST PAYMENTS'!D7*'AVERAGE DURATION'!D7*WBA!D7,0),"-")</f>
        <v>122400</v>
      </c>
      <c r="E7" s="44">
        <f>IF(SETTINGS!E25&gt;0,ROUND('FIRST PAYMENTS'!E7*'AVERAGE DURATION'!E7*WBA!E7,0),"-")</f>
        <v>91800</v>
      </c>
      <c r="F7" s="30"/>
      <c r="G7" s="42">
        <f>'FIRST PAYMENTS'!G7</f>
        <v>6333.333333333333</v>
      </c>
      <c r="H7" s="30"/>
    </row>
    <row r="8" spans="1:8" ht="21" x14ac:dyDescent="0.35">
      <c r="A8" s="30"/>
      <c r="B8" s="22">
        <f>IF(SETTINGS!$C$15=1,SETTINGS!B26*(1+SETTINGS!$C$18)^SETTINGS!$C$16,SETTINGS!B26)</f>
        <v>27000</v>
      </c>
      <c r="C8" s="44" t="str">
        <f>IF(SETTINGS!C26&gt;0,ROUND('FIRST PAYMENTS'!C8*'AVERAGE DURATION'!C8*WBA!C8,0),"-")</f>
        <v>-</v>
      </c>
      <c r="D8" s="44" t="str">
        <f>IF(SETTINGS!D26&gt;0,ROUND('FIRST PAYMENTS'!D8*'AVERAGE DURATION'!D8*WBA!D8,0),"-")</f>
        <v>-</v>
      </c>
      <c r="E8" s="44">
        <f>IF(SETTINGS!E26&gt;0,ROUND('FIRST PAYMENTS'!E8*'AVERAGE DURATION'!E8*WBA!E8,0),"-")</f>
        <v>153000</v>
      </c>
      <c r="F8" s="30"/>
      <c r="G8" s="42">
        <f>'FIRST PAYMENTS'!G8</f>
        <v>9000</v>
      </c>
      <c r="H8" s="30"/>
    </row>
    <row r="9" spans="1:8" ht="21.75" thickBot="1" x14ac:dyDescent="0.4">
      <c r="A9" s="30"/>
      <c r="B9" s="27">
        <f>IF(SETTINGS!$C$15=1,SETTINGS!B27*(1+SETTINGS!$C$18)^SETTINGS!$C$16,SETTINGS!B27)</f>
        <v>36000</v>
      </c>
      <c r="C9" s="44" t="str">
        <f>IF(SETTINGS!C27&gt;0,ROUND('FIRST PAYMENTS'!C9*'AVERAGE DURATION'!C9*WBA!C9,0),"-")</f>
        <v>-</v>
      </c>
      <c r="D9" s="44" t="str">
        <f>IF(SETTINGS!D27&gt;0,ROUND('FIRST PAYMENTS'!D9*'AVERAGE DURATION'!D9*WBA!D9,0),"-")</f>
        <v>-</v>
      </c>
      <c r="E9" s="44">
        <f>IF(SETTINGS!E27&gt;0,ROUND('FIRST PAYMENTS'!E9*'AVERAGE DURATION'!E9*WBA!E9,0),"-")</f>
        <v>244800</v>
      </c>
      <c r="F9" s="30"/>
      <c r="G9" s="42">
        <f>'FIRST PAYMENTS'!G9</f>
        <v>12000</v>
      </c>
      <c r="H9" s="30"/>
    </row>
    <row r="10" spans="1:8" ht="15.75" thickBot="1" x14ac:dyDescent="0.3">
      <c r="A10" s="30"/>
      <c r="B10" s="30"/>
      <c r="C10" s="30"/>
      <c r="D10" s="30"/>
      <c r="E10" s="30"/>
      <c r="F10" s="30"/>
      <c r="G10" s="30"/>
      <c r="H10" s="30"/>
    </row>
    <row r="11" spans="1:8" ht="24" thickBot="1" x14ac:dyDescent="0.4">
      <c r="A11" s="30"/>
      <c r="B11" s="36" t="s">
        <v>14</v>
      </c>
      <c r="C11" s="39">
        <f>'FIRST PAYMENTS'!C11</f>
        <v>96.15384615384616</v>
      </c>
      <c r="D11" s="39">
        <f>'FIRST PAYMENTS'!D11</f>
        <v>150</v>
      </c>
      <c r="E11" s="39">
        <f>'FIRST PAYMENTS'!E11</f>
        <v>150</v>
      </c>
      <c r="F11" s="30"/>
      <c r="G11" s="30"/>
      <c r="H11" s="30"/>
    </row>
    <row r="12" spans="1:8" x14ac:dyDescent="0.25">
      <c r="A12" s="30"/>
      <c r="B12" s="30"/>
      <c r="C12" s="43"/>
      <c r="D12" s="30"/>
      <c r="E12" s="30"/>
      <c r="F12" s="30"/>
      <c r="G12" s="30"/>
      <c r="H12" s="30"/>
    </row>
    <row r="15" spans="1:8" ht="21" x14ac:dyDescent="0.35">
      <c r="B15" s="49" t="s">
        <v>30</v>
      </c>
    </row>
    <row r="16" spans="1:8" ht="21" x14ac:dyDescent="0.35">
      <c r="B16" s="48">
        <f>SUM(C5:E9)</f>
        <v>1092819</v>
      </c>
    </row>
  </sheetData>
  <mergeCells count="1">
    <mergeCell ref="C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="70" zoomScaleNormal="70" workbookViewId="0"/>
  </sheetViews>
  <sheetFormatPr defaultRowHeight="15" x14ac:dyDescent="0.25"/>
  <cols>
    <col min="1" max="1" width="5.7109375" customWidth="1"/>
    <col min="2" max="2" width="32.7109375" customWidth="1"/>
    <col min="3" max="5" width="25.28515625" customWidth="1"/>
  </cols>
  <sheetData>
    <row r="1" spans="1:6" ht="15.75" thickBot="1" x14ac:dyDescent="0.3">
      <c r="A1" s="30"/>
      <c r="B1" s="30"/>
      <c r="C1" s="30"/>
      <c r="D1" s="30"/>
      <c r="E1" s="30"/>
      <c r="F1" s="30"/>
    </row>
    <row r="2" spans="1:6" ht="21.75" thickBot="1" x14ac:dyDescent="0.4">
      <c r="A2" s="30"/>
      <c r="B2" s="124" t="s">
        <v>1</v>
      </c>
      <c r="C2" s="125"/>
      <c r="D2" s="126"/>
      <c r="E2" s="30"/>
      <c r="F2" s="30"/>
    </row>
    <row r="3" spans="1:6" ht="21" x14ac:dyDescent="0.35">
      <c r="A3" s="30"/>
      <c r="B3" s="127"/>
      <c r="C3" s="127"/>
      <c r="D3" s="127"/>
      <c r="E3" s="30"/>
      <c r="F3" s="30"/>
    </row>
    <row r="4" spans="1:6" ht="21" x14ac:dyDescent="0.35">
      <c r="A4" s="30"/>
      <c r="B4" s="95" t="s">
        <v>4</v>
      </c>
      <c r="C4" s="105">
        <f>SUM(BENEFITS!C5:E9)</f>
        <v>1092819</v>
      </c>
      <c r="D4" s="128" t="s">
        <v>5</v>
      </c>
      <c r="E4" s="30"/>
      <c r="F4" s="30"/>
    </row>
    <row r="5" spans="1:6" ht="21" x14ac:dyDescent="0.35">
      <c r="A5" s="30"/>
      <c r="B5" s="95" t="s">
        <v>8</v>
      </c>
      <c r="C5" s="108">
        <f>SUM('FIRST PAYMENTS'!C5:E9)</f>
        <v>410</v>
      </c>
      <c r="D5" s="129" t="s">
        <v>9</v>
      </c>
      <c r="E5" s="30"/>
      <c r="F5" s="30"/>
    </row>
    <row r="6" spans="1:6" ht="21" x14ac:dyDescent="0.35">
      <c r="A6" s="30"/>
      <c r="B6" s="95" t="s">
        <v>10</v>
      </c>
      <c r="C6" s="110">
        <f>SUMPRODUCT('FIRST PAYMENTS'!C5:E9,'AVERAGE DURATION'!C5:E9)</f>
        <v>7811</v>
      </c>
      <c r="D6" s="129" t="s">
        <v>9</v>
      </c>
      <c r="E6" s="30"/>
      <c r="F6" s="30"/>
    </row>
    <row r="7" spans="1:6" ht="21" x14ac:dyDescent="0.35">
      <c r="A7" s="30"/>
      <c r="B7" s="95" t="s">
        <v>11</v>
      </c>
      <c r="C7" s="111">
        <f>C4/C6</f>
        <v>139.90769427730123</v>
      </c>
      <c r="D7" s="128"/>
      <c r="E7" s="30"/>
      <c r="F7" s="30"/>
    </row>
    <row r="8" spans="1:6" ht="21" x14ac:dyDescent="0.35">
      <c r="A8" s="30"/>
      <c r="B8" s="95" t="s">
        <v>13</v>
      </c>
      <c r="C8" s="114">
        <f>C6/C5</f>
        <v>19.051219512195122</v>
      </c>
      <c r="D8" s="128" t="s">
        <v>7</v>
      </c>
      <c r="E8" s="30"/>
      <c r="F8" s="30"/>
    </row>
    <row r="9" spans="1:6" x14ac:dyDescent="0.25">
      <c r="A9" s="30"/>
      <c r="B9" s="30"/>
      <c r="C9" s="30"/>
      <c r="D9" s="30"/>
      <c r="E9" s="30"/>
      <c r="F9" s="30"/>
    </row>
    <row r="10" spans="1:6" x14ac:dyDescent="0.25">
      <c r="A10" s="30"/>
      <c r="B10" s="30"/>
      <c r="C10" s="30"/>
      <c r="D10" s="30"/>
      <c r="E10" s="30"/>
      <c r="F10" s="30"/>
    </row>
    <row r="11" spans="1:6" x14ac:dyDescent="0.25">
      <c r="A11" s="30"/>
      <c r="B11" s="30"/>
      <c r="C11" s="30"/>
      <c r="D11" s="30"/>
      <c r="E11" s="30"/>
      <c r="F11" s="30"/>
    </row>
    <row r="12" spans="1:6" x14ac:dyDescent="0.25">
      <c r="A12" s="30"/>
      <c r="B12" s="30"/>
      <c r="C12" s="30"/>
      <c r="D12" s="30"/>
      <c r="E12" s="30"/>
      <c r="F12" s="30"/>
    </row>
    <row r="13" spans="1:6" x14ac:dyDescent="0.25">
      <c r="A13" s="30"/>
      <c r="B13" s="30"/>
      <c r="C13" s="30"/>
      <c r="D13" s="30"/>
      <c r="E13" s="30"/>
      <c r="F13" s="30"/>
    </row>
    <row r="14" spans="1:6" x14ac:dyDescent="0.25">
      <c r="A14" s="30"/>
      <c r="B14" s="30"/>
      <c r="C14" s="30"/>
      <c r="D14" s="30"/>
      <c r="E14" s="30"/>
      <c r="F14" s="30"/>
    </row>
    <row r="15" spans="1:6" x14ac:dyDescent="0.25">
      <c r="A15" s="30"/>
      <c r="B15" s="30"/>
      <c r="C15" s="30"/>
      <c r="D15" s="30"/>
      <c r="E15" s="30"/>
      <c r="F15" s="30"/>
    </row>
    <row r="16" spans="1:6" ht="15.75" thickBot="1" x14ac:dyDescent="0.3">
      <c r="A16" s="30"/>
      <c r="B16" s="30"/>
      <c r="C16" s="30"/>
      <c r="D16" s="30"/>
      <c r="E16" s="30"/>
      <c r="F16" s="30"/>
    </row>
    <row r="17" spans="1:6" ht="21.75" thickBot="1" x14ac:dyDescent="0.4">
      <c r="A17" s="30"/>
      <c r="B17" s="130" t="s">
        <v>20</v>
      </c>
      <c r="C17" s="131"/>
      <c r="D17" s="131"/>
      <c r="E17" s="132"/>
      <c r="F17" s="30"/>
    </row>
    <row r="18" spans="1:6" ht="21.75" thickBot="1" x14ac:dyDescent="0.4">
      <c r="A18" s="30"/>
      <c r="B18" s="133"/>
      <c r="C18" s="134" t="s">
        <v>22</v>
      </c>
      <c r="D18" s="134" t="s">
        <v>23</v>
      </c>
      <c r="E18" s="135" t="s">
        <v>24</v>
      </c>
      <c r="F18" s="30"/>
    </row>
    <row r="19" spans="1:6" ht="21" x14ac:dyDescent="0.35">
      <c r="A19" s="30"/>
      <c r="B19" s="136" t="s">
        <v>4</v>
      </c>
      <c r="C19" s="137">
        <f>COMPUTE!C59</f>
        <v>0</v>
      </c>
      <c r="D19" s="138">
        <f>C4</f>
        <v>1092819</v>
      </c>
      <c r="E19" s="139" t="e">
        <f>ROUND((D19-C19)/C19,3)</f>
        <v>#DIV/0!</v>
      </c>
      <c r="F19" s="30"/>
    </row>
    <row r="20" spans="1:6" ht="21" x14ac:dyDescent="0.35">
      <c r="A20" s="30"/>
      <c r="B20" s="136" t="s">
        <v>8</v>
      </c>
      <c r="C20" s="140">
        <f>COMPUTE!C60</f>
        <v>410</v>
      </c>
      <c r="D20" s="108">
        <f>C5</f>
        <v>410</v>
      </c>
      <c r="E20" s="141">
        <f t="shared" ref="E20:E23" si="0">ROUND((D20-C20)/C20,3)</f>
        <v>0</v>
      </c>
      <c r="F20" s="30"/>
    </row>
    <row r="21" spans="1:6" ht="21" x14ac:dyDescent="0.35">
      <c r="A21" s="30"/>
      <c r="B21" s="136" t="s">
        <v>10</v>
      </c>
      <c r="C21" s="142">
        <f>COMPUTE!C61</f>
        <v>0</v>
      </c>
      <c r="D21" s="110">
        <f>C6</f>
        <v>7811</v>
      </c>
      <c r="E21" s="141" t="e">
        <f t="shared" si="0"/>
        <v>#DIV/0!</v>
      </c>
      <c r="F21" s="30"/>
    </row>
    <row r="22" spans="1:6" ht="21" x14ac:dyDescent="0.35">
      <c r="A22" s="30"/>
      <c r="B22" s="136" t="s">
        <v>11</v>
      </c>
      <c r="C22" s="143" t="e">
        <f>COMPUTE!C62</f>
        <v>#DIV/0!</v>
      </c>
      <c r="D22" s="111">
        <f>C7</f>
        <v>139.90769427730123</v>
      </c>
      <c r="E22" s="141" t="e">
        <f t="shared" si="0"/>
        <v>#DIV/0!</v>
      </c>
      <c r="F22" s="30"/>
    </row>
    <row r="23" spans="1:6" ht="21.75" thickBot="1" x14ac:dyDescent="0.4">
      <c r="A23" s="30"/>
      <c r="B23" s="144" t="s">
        <v>13</v>
      </c>
      <c r="C23" s="145">
        <f>COMPUTE!C63</f>
        <v>0</v>
      </c>
      <c r="D23" s="146">
        <f>C8</f>
        <v>19.051219512195122</v>
      </c>
      <c r="E23" s="147" t="e">
        <f t="shared" si="0"/>
        <v>#DIV/0!</v>
      </c>
      <c r="F23" s="30"/>
    </row>
    <row r="24" spans="1:6" x14ac:dyDescent="0.25">
      <c r="A24" s="30"/>
      <c r="B24" s="30"/>
      <c r="C24" s="30"/>
      <c r="D24" s="30"/>
      <c r="E24" s="30"/>
      <c r="F24" s="30"/>
    </row>
    <row r="25" spans="1:6" x14ac:dyDescent="0.25">
      <c r="A25" s="30"/>
      <c r="B25" s="30"/>
      <c r="C25" s="30"/>
      <c r="D25" s="30"/>
      <c r="E25" s="30"/>
      <c r="F25" s="30"/>
    </row>
  </sheetData>
  <mergeCells count="2">
    <mergeCell ref="B2:D2"/>
    <mergeCell ref="B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COMPUTE</vt:lpstr>
      <vt:lpstr>SETTINGS</vt:lpstr>
      <vt:lpstr>FIRST PAYMENTS</vt:lpstr>
      <vt:lpstr>POTENTIAL DURATION</vt:lpstr>
      <vt:lpstr>AVERAGE DURATION</vt:lpstr>
      <vt:lpstr>WBA</vt:lpstr>
      <vt:lpstr>BENEFITS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</dc:creator>
  <cp:lastModifiedBy>Stapleton, Kevin - ETA</cp:lastModifiedBy>
  <dcterms:created xsi:type="dcterms:W3CDTF">2014-10-06T19:52:01Z</dcterms:created>
  <dcterms:modified xsi:type="dcterms:W3CDTF">2018-10-16T20:04:32Z</dcterms:modified>
</cp:coreProperties>
</file>